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8_{78452B83-D155-4CB7-ACA5-165B34193322}" xr6:coauthVersionLast="47" xr6:coauthVersionMax="47" xr10:uidLastSave="{00000000-0000-0000-0000-000000000000}"/>
  <bookViews>
    <workbookView xWindow="-110" yWindow="-110" windowWidth="19420" windowHeight="11500" xr2:uid="{00000000-000D-0000-FFFF-FFFF00000000}"/>
  </bookViews>
  <sheets>
    <sheet name="1. How to use" sheetId="1" r:id="rId1"/>
    <sheet name="2. Details" sheetId="2" r:id="rId2"/>
    <sheet name="3. Matrix" sheetId="3" r:id="rId3"/>
    <sheet name="4. Findings" sheetId="4" r:id="rId4"/>
    <sheet name="5. Scorecard" sheetId="5" r:id="rId5"/>
    <sheet name="6. Standards" sheetId="6" r:id="rId6"/>
  </sheets>
  <definedNames>
    <definedName name="_xlnm._FilterDatabase" localSheetId="2" hidden="1">'3. Matrix'!$A$5:$O$47</definedName>
    <definedName name="_xlnm._FilterDatabase" localSheetId="3" hidden="1">'4. Findings'!$A$7:$K$27</definedName>
    <definedName name="_xlnm._FilterDatabase" localSheetId="5" hidden="1">'6. Standards'!$A$4:$E$21</definedName>
    <definedName name="AxisCol">'3. Matrix'!$C$6:$C$47</definedName>
    <definedName name="DocStatus">'2. Details'!$C$14</definedName>
    <definedName name="DomainCol">'3. Matrix'!$B$6:$B$47</definedName>
    <definedName name="EngagementType">'2. Details'!$C$13</definedName>
    <definedName name="EvidenceInHand">'2. Details'!$C$15</definedName>
    <definedName name="InvalidNA">'3. Matrix'!$S$6:$S$47</definedName>
    <definedName name="InvalidNT">'3. Matrix'!$T$6:$T$47</definedName>
    <definedName name="InvalidScore">'3. Matrix'!$AC$6:$AC$47</definedName>
    <definedName name="LevelCol">'3. Matrix'!$D$6:$D$47</definedName>
    <definedName name="MaxPoints">'3. Matrix'!$O$6:$O$47</definedName>
    <definedName name="MustBlank">'3. Matrix'!$R$6:$R$47</definedName>
    <definedName name="MustFail">'3. Matrix'!$P$6:$P$47</definedName>
    <definedName name="MustPartial">'3. Matrix'!$Q$6:$Q$47</definedName>
    <definedName name="Organisation">'2. Details'!$C$7</definedName>
    <definedName name="Points">'3. Matrix'!$N$6:$N$47</definedName>
    <definedName name="_xlnm.Print_Area" localSheetId="0">'1. How to use'!$A$1:$G$40</definedName>
    <definedName name="_xlnm.Print_Area" localSheetId="1">'2. Details'!$A$1:$E$25</definedName>
    <definedName name="_xlnm.Print_Area" localSheetId="2">'3. Matrix'!$A$1:$O$47</definedName>
    <definedName name="_xlnm.Print_Area" localSheetId="3">'4. Findings'!$A$1:$K$39</definedName>
    <definedName name="_xlnm.Print_Area" localSheetId="4">'5. Scorecard'!$A$1:$G$44</definedName>
    <definedName name="_xlnm.Print_Area" localSheetId="5">'6. Standards'!$A$1:$E$21</definedName>
    <definedName name="_xlnm.Print_Titles" localSheetId="2">'3. Matrix'!$1:$5</definedName>
    <definedName name="_xlnm.Print_Titles" localSheetId="3">'4. Findings'!$1:$7</definedName>
    <definedName name="ReportRef">'2. Details'!$C$6</definedName>
    <definedName name="ReportTitle">'2. Details'!$C$5</definedName>
    <definedName name="ReviewDate">'2. Details'!$C$20</definedName>
    <definedName name="Reviewer">'2. Details'!$C$19</definedName>
    <definedName name="ScoreCol">'3. Matrix'!$I$6:$I$47</definedName>
    <definedName name="ScoredFlags">'3. Matrix'!$W$6:$W$47</definedName>
    <definedName name="ShouldFail">'3. Matrix'!$U$6:$U$47</definedName>
    <definedName name="ShouldPartial">'3. Matrix'!$V$6:$V$47</definedName>
    <definedName name="StandardsEra">'2. Details'!$C$16</definedName>
  </definedNames>
  <calcPr calcId="181029"/>
</workbook>
</file>

<file path=xl/calcChain.xml><?xml version="1.0" encoding="utf-8"?>
<calcChain xmlns="http://schemas.openxmlformats.org/spreadsheetml/2006/main">
  <c r="G21" i="6" l="1"/>
  <c r="F21" i="6"/>
  <c r="E21" i="6"/>
  <c r="G20" i="6"/>
  <c r="E20" i="6" s="1"/>
  <c r="F20" i="6"/>
  <c r="G19" i="6"/>
  <c r="E19" i="6" s="1"/>
  <c r="F19" i="6"/>
  <c r="G18" i="6"/>
  <c r="E18" i="6" s="1"/>
  <c r="F18" i="6"/>
  <c r="G17" i="6"/>
  <c r="E17" i="6" s="1"/>
  <c r="F17" i="6"/>
  <c r="G16" i="6"/>
  <c r="F16" i="6"/>
  <c r="E16" i="6"/>
  <c r="G15" i="6"/>
  <c r="E15" i="6" s="1"/>
  <c r="F15" i="6"/>
  <c r="G14" i="6"/>
  <c r="E14" i="6" s="1"/>
  <c r="F14" i="6"/>
  <c r="G13" i="6"/>
  <c r="E13" i="6" s="1"/>
  <c r="F13" i="6"/>
  <c r="G12" i="6"/>
  <c r="E12" i="6" s="1"/>
  <c r="F12" i="6"/>
  <c r="G11" i="6"/>
  <c r="E11" i="6" s="1"/>
  <c r="F11" i="6"/>
  <c r="G10" i="6"/>
  <c r="E10" i="6" s="1"/>
  <c r="F10" i="6"/>
  <c r="G9" i="6"/>
  <c r="E9" i="6" s="1"/>
  <c r="F9" i="6"/>
  <c r="G8" i="6"/>
  <c r="E8" i="6" s="1"/>
  <c r="F8" i="6"/>
  <c r="G7" i="6"/>
  <c r="E7" i="6" s="1"/>
  <c r="F7" i="6"/>
  <c r="G6" i="6"/>
  <c r="E6" i="6" s="1"/>
  <c r="F6" i="6"/>
  <c r="G5" i="6"/>
  <c r="E5" i="6" s="1"/>
  <c r="F5" i="6"/>
  <c r="B9" i="5"/>
  <c r="B3" i="5"/>
  <c r="B39" i="4"/>
  <c r="A39" i="4"/>
  <c r="B38" i="4"/>
  <c r="A38" i="4"/>
  <c r="B37" i="4"/>
  <c r="A37" i="4"/>
  <c r="B36" i="4"/>
  <c r="A36" i="4"/>
  <c r="B35" i="4"/>
  <c r="A35" i="4"/>
  <c r="B34" i="4"/>
  <c r="A34" i="4"/>
  <c r="B33" i="4"/>
  <c r="A33" i="4"/>
  <c r="K27" i="4"/>
  <c r="K26" i="4"/>
  <c r="K25" i="4"/>
  <c r="K24" i="4"/>
  <c r="K23" i="4"/>
  <c r="K22" i="4"/>
  <c r="K21" i="4"/>
  <c r="K20" i="4"/>
  <c r="K19" i="4"/>
  <c r="K18" i="4"/>
  <c r="K17" i="4"/>
  <c r="K16" i="4"/>
  <c r="K15" i="4"/>
  <c r="K14" i="4"/>
  <c r="K13" i="4"/>
  <c r="K12" i="4"/>
  <c r="K11" i="4"/>
  <c r="K10" i="4"/>
  <c r="K9" i="4"/>
  <c r="K8" i="4"/>
  <c r="H5" i="4"/>
  <c r="F5" i="4"/>
  <c r="D5" i="4"/>
  <c r="B5" i="4"/>
  <c r="A3" i="4"/>
  <c r="AA47" i="3"/>
  <c r="AC47" i="3" s="1"/>
  <c r="X47" i="3"/>
  <c r="W47" i="3"/>
  <c r="V47" i="3"/>
  <c r="U47" i="3"/>
  <c r="T47" i="3"/>
  <c r="S47" i="3"/>
  <c r="R47" i="3"/>
  <c r="Q47" i="3"/>
  <c r="P47" i="3"/>
  <c r="O47" i="3"/>
  <c r="N47" i="3"/>
  <c r="H47" i="3"/>
  <c r="G47" i="3"/>
  <c r="AA46" i="3"/>
  <c r="X46" i="3"/>
  <c r="V46" i="3"/>
  <c r="U46" i="3"/>
  <c r="T46" i="3"/>
  <c r="S46" i="3"/>
  <c r="R46" i="3"/>
  <c r="Q46" i="3"/>
  <c r="P46" i="3"/>
  <c r="O46" i="3"/>
  <c r="N46" i="3"/>
  <c r="H46" i="3"/>
  <c r="G46" i="3"/>
  <c r="AA45" i="3"/>
  <c r="X45" i="3"/>
  <c r="H45" i="3"/>
  <c r="G45" i="3"/>
  <c r="AA44" i="3"/>
  <c r="X44" i="3"/>
  <c r="U44" i="3"/>
  <c r="T44" i="3"/>
  <c r="S44" i="3"/>
  <c r="R44" i="3"/>
  <c r="Q44" i="3"/>
  <c r="P44" i="3"/>
  <c r="O44" i="3"/>
  <c r="N44" i="3"/>
  <c r="H44" i="3"/>
  <c r="G44" i="3"/>
  <c r="AA43" i="3"/>
  <c r="X43" i="3"/>
  <c r="H43" i="3"/>
  <c r="G43" i="3"/>
  <c r="AA42" i="3"/>
  <c r="X42" i="3"/>
  <c r="O42" i="3"/>
  <c r="N42" i="3"/>
  <c r="H42" i="3"/>
  <c r="G42" i="3"/>
  <c r="AA41" i="3"/>
  <c r="AC41" i="3" s="1"/>
  <c r="X41" i="3"/>
  <c r="W41" i="3"/>
  <c r="V41" i="3"/>
  <c r="U41" i="3"/>
  <c r="T41" i="3"/>
  <c r="S41" i="3"/>
  <c r="R41" i="3"/>
  <c r="Q41" i="3"/>
  <c r="P41" i="3"/>
  <c r="O41" i="3"/>
  <c r="N41" i="3"/>
  <c r="H41" i="3"/>
  <c r="G41" i="3"/>
  <c r="AA40" i="3"/>
  <c r="X40" i="3"/>
  <c r="N40" i="3"/>
  <c r="H40" i="3"/>
  <c r="G40" i="3"/>
  <c r="AA39" i="3"/>
  <c r="X39" i="3"/>
  <c r="H39" i="3"/>
  <c r="G39" i="3"/>
  <c r="AA38" i="3"/>
  <c r="AC38" i="3" s="1"/>
  <c r="X38" i="3"/>
  <c r="W38" i="3"/>
  <c r="V38" i="3"/>
  <c r="U38" i="3"/>
  <c r="T38" i="3"/>
  <c r="S38" i="3"/>
  <c r="R38" i="3"/>
  <c r="Q38" i="3"/>
  <c r="P38" i="3"/>
  <c r="O38" i="3"/>
  <c r="N38" i="3"/>
  <c r="H38" i="3"/>
  <c r="G38" i="3"/>
  <c r="AA37" i="3"/>
  <c r="AC37" i="3" s="1"/>
  <c r="X37" i="3"/>
  <c r="W37" i="3"/>
  <c r="V37" i="3"/>
  <c r="U37" i="3"/>
  <c r="T37" i="3"/>
  <c r="S37" i="3"/>
  <c r="R37" i="3"/>
  <c r="Q37" i="3"/>
  <c r="P37" i="3"/>
  <c r="O37" i="3"/>
  <c r="N37" i="3"/>
  <c r="H37" i="3"/>
  <c r="G37" i="3"/>
  <c r="AA36" i="3"/>
  <c r="AC36" i="3" s="1"/>
  <c r="X36" i="3"/>
  <c r="W36" i="3"/>
  <c r="V36" i="3"/>
  <c r="U36" i="3"/>
  <c r="T36" i="3"/>
  <c r="S36" i="3"/>
  <c r="R36" i="3"/>
  <c r="Q36" i="3"/>
  <c r="P36" i="3"/>
  <c r="O36" i="3"/>
  <c r="N36" i="3"/>
  <c r="H36" i="3"/>
  <c r="G36" i="3"/>
  <c r="AA35" i="3"/>
  <c r="AC35" i="3" s="1"/>
  <c r="X35" i="3"/>
  <c r="W35" i="3"/>
  <c r="V35" i="3"/>
  <c r="U35" i="3"/>
  <c r="T35" i="3"/>
  <c r="S35" i="3"/>
  <c r="R35" i="3"/>
  <c r="Q35" i="3"/>
  <c r="P35" i="3"/>
  <c r="O35" i="3"/>
  <c r="N35" i="3"/>
  <c r="H35" i="3"/>
  <c r="G35" i="3"/>
  <c r="AA34" i="3"/>
  <c r="AC34" i="3" s="1"/>
  <c r="X34" i="3"/>
  <c r="W34" i="3"/>
  <c r="V34" i="3"/>
  <c r="U34" i="3"/>
  <c r="T34" i="3"/>
  <c r="S34" i="3"/>
  <c r="R34" i="3"/>
  <c r="Q34" i="3"/>
  <c r="P34" i="3"/>
  <c r="O34" i="3"/>
  <c r="N34" i="3"/>
  <c r="H34" i="3"/>
  <c r="G34" i="3"/>
  <c r="AA33" i="3"/>
  <c r="AC33" i="3" s="1"/>
  <c r="X33" i="3"/>
  <c r="W33" i="3"/>
  <c r="V33" i="3"/>
  <c r="U33" i="3"/>
  <c r="T33" i="3"/>
  <c r="S33" i="3"/>
  <c r="R33" i="3"/>
  <c r="Q33" i="3"/>
  <c r="P33" i="3"/>
  <c r="O33" i="3"/>
  <c r="N33" i="3"/>
  <c r="H33" i="3"/>
  <c r="G33" i="3"/>
  <c r="AA32" i="3"/>
  <c r="X32" i="3"/>
  <c r="H32" i="3"/>
  <c r="G32" i="3"/>
  <c r="AA31" i="3"/>
  <c r="AC31" i="3" s="1"/>
  <c r="X31" i="3"/>
  <c r="W31" i="3"/>
  <c r="V31" i="3"/>
  <c r="U31" i="3"/>
  <c r="T31" i="3"/>
  <c r="S31" i="3"/>
  <c r="R31" i="3"/>
  <c r="Q31" i="3"/>
  <c r="P31" i="3"/>
  <c r="O31" i="3"/>
  <c r="N31" i="3"/>
  <c r="H31" i="3"/>
  <c r="G31" i="3"/>
  <c r="AA30" i="3"/>
  <c r="AC30" i="3" s="1"/>
  <c r="X30" i="3"/>
  <c r="W30" i="3"/>
  <c r="V30" i="3"/>
  <c r="U30" i="3"/>
  <c r="T30" i="3"/>
  <c r="S30" i="3"/>
  <c r="R30" i="3"/>
  <c r="Q30" i="3"/>
  <c r="P30" i="3"/>
  <c r="O30" i="3"/>
  <c r="N30" i="3"/>
  <c r="H30" i="3"/>
  <c r="G30" i="3"/>
  <c r="AA29" i="3"/>
  <c r="AC29" i="3" s="1"/>
  <c r="X29" i="3"/>
  <c r="W29" i="3"/>
  <c r="V29" i="3"/>
  <c r="U29" i="3"/>
  <c r="T29" i="3"/>
  <c r="S29" i="3"/>
  <c r="R29" i="3"/>
  <c r="Q29" i="3"/>
  <c r="P29" i="3"/>
  <c r="O29" i="3"/>
  <c r="N29" i="3"/>
  <c r="H29" i="3"/>
  <c r="G29" i="3"/>
  <c r="AA28" i="3"/>
  <c r="AC28" i="3" s="1"/>
  <c r="X28" i="3"/>
  <c r="W28" i="3"/>
  <c r="V28" i="3"/>
  <c r="U28" i="3"/>
  <c r="T28" i="3"/>
  <c r="S28" i="3"/>
  <c r="R28" i="3"/>
  <c r="Q28" i="3"/>
  <c r="P28" i="3"/>
  <c r="O28" i="3"/>
  <c r="N28" i="3"/>
  <c r="H28" i="3"/>
  <c r="G28" i="3"/>
  <c r="AA27" i="3"/>
  <c r="AC27" i="3" s="1"/>
  <c r="X27" i="3"/>
  <c r="W27" i="3"/>
  <c r="V27" i="3"/>
  <c r="U27" i="3"/>
  <c r="T27" i="3"/>
  <c r="S27" i="3"/>
  <c r="R27" i="3"/>
  <c r="Q27" i="3"/>
  <c r="P27" i="3"/>
  <c r="O27" i="3"/>
  <c r="N27" i="3"/>
  <c r="H27" i="3"/>
  <c r="G27" i="3"/>
  <c r="AA26" i="3"/>
  <c r="AC26" i="3" s="1"/>
  <c r="X26" i="3"/>
  <c r="W26" i="3"/>
  <c r="V26" i="3"/>
  <c r="U26" i="3"/>
  <c r="T26" i="3"/>
  <c r="S26" i="3"/>
  <c r="R26" i="3"/>
  <c r="Q26" i="3"/>
  <c r="P26" i="3"/>
  <c r="O26" i="3"/>
  <c r="N26" i="3"/>
  <c r="H26" i="3"/>
  <c r="G26" i="3"/>
  <c r="AA25" i="3"/>
  <c r="X25" i="3"/>
  <c r="Q25" i="3"/>
  <c r="P25" i="3"/>
  <c r="O25" i="3"/>
  <c r="N25" i="3"/>
  <c r="H25" i="3"/>
  <c r="G25" i="3"/>
  <c r="AA24" i="3"/>
  <c r="AC24" i="3" s="1"/>
  <c r="X24" i="3"/>
  <c r="W24" i="3"/>
  <c r="V24" i="3"/>
  <c r="U24" i="3"/>
  <c r="T24" i="3"/>
  <c r="S24" i="3"/>
  <c r="R24" i="3"/>
  <c r="Q24" i="3"/>
  <c r="P24" i="3"/>
  <c r="O24" i="3"/>
  <c r="N24" i="3"/>
  <c r="H24" i="3"/>
  <c r="G24" i="3"/>
  <c r="AA23" i="3"/>
  <c r="X23" i="3"/>
  <c r="U23" i="3"/>
  <c r="T23" i="3"/>
  <c r="S23" i="3"/>
  <c r="R23" i="3"/>
  <c r="Q23" i="3"/>
  <c r="P23" i="3"/>
  <c r="O23" i="3"/>
  <c r="N23" i="3"/>
  <c r="H23" i="3"/>
  <c r="G23" i="3"/>
  <c r="AA22" i="3"/>
  <c r="X22" i="3"/>
  <c r="O22" i="3"/>
  <c r="N22" i="3"/>
  <c r="H22" i="3"/>
  <c r="G22" i="3"/>
  <c r="AA21" i="3"/>
  <c r="X21" i="3"/>
  <c r="U21" i="3"/>
  <c r="T21" i="3"/>
  <c r="S21" i="3"/>
  <c r="R21" i="3"/>
  <c r="Q21" i="3"/>
  <c r="P21" i="3"/>
  <c r="O21" i="3"/>
  <c r="N21" i="3"/>
  <c r="H21" i="3"/>
  <c r="G21" i="3"/>
  <c r="AA20" i="3"/>
  <c r="X20" i="3"/>
  <c r="O20" i="3"/>
  <c r="N20" i="3"/>
  <c r="H20" i="3"/>
  <c r="G20" i="3"/>
  <c r="AA19" i="3"/>
  <c r="X19" i="3"/>
  <c r="O19" i="3"/>
  <c r="N19" i="3"/>
  <c r="H19" i="3"/>
  <c r="G19" i="3"/>
  <c r="AA18" i="3"/>
  <c r="X18" i="3"/>
  <c r="O18" i="3"/>
  <c r="N18" i="3"/>
  <c r="H18" i="3"/>
  <c r="G18" i="3"/>
  <c r="AA17" i="3"/>
  <c r="X17" i="3"/>
  <c r="N17" i="3"/>
  <c r="H17" i="3"/>
  <c r="G17" i="3"/>
  <c r="AA16" i="3"/>
  <c r="AC16" i="3" s="1"/>
  <c r="X16" i="3"/>
  <c r="W16" i="3"/>
  <c r="V16" i="3"/>
  <c r="U16" i="3"/>
  <c r="T16" i="3"/>
  <c r="S16" i="3"/>
  <c r="R16" i="3"/>
  <c r="Q16" i="3"/>
  <c r="P16" i="3"/>
  <c r="O16" i="3"/>
  <c r="N16" i="3"/>
  <c r="H16" i="3"/>
  <c r="G16" i="3"/>
  <c r="AA15" i="3"/>
  <c r="X15" i="3"/>
  <c r="H15" i="3"/>
  <c r="G15" i="3"/>
  <c r="AA14" i="3"/>
  <c r="AC14" i="3" s="1"/>
  <c r="X14" i="3"/>
  <c r="W14" i="3"/>
  <c r="V14" i="3"/>
  <c r="U14" i="3"/>
  <c r="T14" i="3"/>
  <c r="S14" i="3"/>
  <c r="R14" i="3"/>
  <c r="Q14" i="3"/>
  <c r="P14" i="3"/>
  <c r="O14" i="3"/>
  <c r="N14" i="3"/>
  <c r="H14" i="3"/>
  <c r="G14" i="3"/>
  <c r="AA13" i="3"/>
  <c r="AC13" i="3" s="1"/>
  <c r="X13" i="3"/>
  <c r="W13" i="3"/>
  <c r="V13" i="3"/>
  <c r="U13" i="3"/>
  <c r="T13" i="3"/>
  <c r="S13" i="3"/>
  <c r="R13" i="3"/>
  <c r="Q13" i="3"/>
  <c r="P13" i="3"/>
  <c r="O13" i="3"/>
  <c r="N13" i="3"/>
  <c r="H13" i="3"/>
  <c r="G13" i="3"/>
  <c r="AA12" i="3"/>
  <c r="X12" i="3"/>
  <c r="W12" i="3"/>
  <c r="O12" i="3"/>
  <c r="N12" i="3"/>
  <c r="H12" i="3"/>
  <c r="G12" i="3"/>
  <c r="AA11" i="3"/>
  <c r="AC11" i="3" s="1"/>
  <c r="X11" i="3"/>
  <c r="W11" i="3"/>
  <c r="V11" i="3"/>
  <c r="U11" i="3"/>
  <c r="T11" i="3"/>
  <c r="S11" i="3"/>
  <c r="R11" i="3"/>
  <c r="Q11" i="3"/>
  <c r="P11" i="3"/>
  <c r="O11" i="3"/>
  <c r="N11" i="3"/>
  <c r="H11" i="3"/>
  <c r="G11" i="3"/>
  <c r="AA10" i="3"/>
  <c r="X10" i="3"/>
  <c r="V10" i="3"/>
  <c r="U10" i="3"/>
  <c r="T10" i="3"/>
  <c r="S10" i="3"/>
  <c r="R10" i="3"/>
  <c r="Q10" i="3"/>
  <c r="P10" i="3"/>
  <c r="O10" i="3"/>
  <c r="N10" i="3"/>
  <c r="H10" i="3"/>
  <c r="G10" i="3"/>
  <c r="AA9" i="3"/>
  <c r="X9" i="3"/>
  <c r="H9" i="3"/>
  <c r="G9" i="3"/>
  <c r="AA8" i="3"/>
  <c r="X8" i="3"/>
  <c r="H8" i="3"/>
  <c r="G8" i="3"/>
  <c r="AA7" i="3"/>
  <c r="X7" i="3"/>
  <c r="H7" i="3"/>
  <c r="G7" i="3"/>
  <c r="AA6" i="3"/>
  <c r="X6" i="3"/>
  <c r="H6" i="3"/>
  <c r="G6" i="3"/>
  <c r="A3" i="3"/>
  <c r="C39" i="4" l="1"/>
  <c r="D39" i="4" s="1"/>
  <c r="E39" i="4"/>
  <c r="E38" i="4"/>
  <c r="C38" i="4"/>
  <c r="D38" i="4" s="1"/>
  <c r="E37" i="4"/>
  <c r="C37" i="4"/>
  <c r="D37" i="4" s="1"/>
  <c r="E36" i="4"/>
  <c r="C36" i="4"/>
  <c r="D36" i="4" s="1"/>
  <c r="E35" i="4"/>
  <c r="C35" i="4"/>
  <c r="D35" i="4" s="1"/>
  <c r="E34" i="4"/>
  <c r="C34" i="4"/>
  <c r="D34" i="4" s="1"/>
  <c r="E33" i="4"/>
  <c r="C33" i="4"/>
  <c r="D33" i="4" s="1"/>
  <c r="W46" i="3"/>
  <c r="AC46" i="3"/>
  <c r="AC45" i="3"/>
  <c r="V45" i="3"/>
  <c r="W45" i="3"/>
  <c r="Q45" i="3"/>
  <c r="P45" i="3"/>
  <c r="S45" i="3"/>
  <c r="N45" i="3"/>
  <c r="O45" i="3"/>
  <c r="R45" i="3"/>
  <c r="T45" i="3"/>
  <c r="U45" i="3"/>
  <c r="AC44" i="3"/>
  <c r="V44" i="3"/>
  <c r="W44" i="3"/>
  <c r="W43" i="3"/>
  <c r="T43" i="3"/>
  <c r="S43" i="3"/>
  <c r="R43" i="3"/>
  <c r="P43" i="3"/>
  <c r="N43" i="3"/>
  <c r="Q43" i="3"/>
  <c r="U43" i="3"/>
  <c r="V43" i="3"/>
  <c r="AC43" i="3"/>
  <c r="O43" i="3"/>
  <c r="AC42" i="3"/>
  <c r="P42" i="3"/>
  <c r="Q42" i="3"/>
  <c r="S42" i="3"/>
  <c r="T42" i="3"/>
  <c r="U42" i="3"/>
  <c r="V42" i="3"/>
  <c r="W42" i="3"/>
  <c r="R42" i="3"/>
  <c r="O40" i="3"/>
  <c r="V40" i="3"/>
  <c r="U40" i="3"/>
  <c r="AC40" i="3"/>
  <c r="T40" i="3"/>
  <c r="S40" i="3"/>
  <c r="R40" i="3"/>
  <c r="Q40" i="3"/>
  <c r="P40" i="3"/>
  <c r="W40" i="3"/>
  <c r="U39" i="3"/>
  <c r="R39" i="3"/>
  <c r="V39" i="3"/>
  <c r="T39" i="3"/>
  <c r="O39" i="3"/>
  <c r="N39" i="3"/>
  <c r="S39" i="3"/>
  <c r="AC39" i="3"/>
  <c r="W39" i="3"/>
  <c r="Q39" i="3"/>
  <c r="P39" i="3"/>
  <c r="AC32" i="3"/>
  <c r="N32" i="3"/>
  <c r="W32" i="3"/>
  <c r="T32" i="3"/>
  <c r="S32" i="3"/>
  <c r="R32" i="3"/>
  <c r="O32" i="3"/>
  <c r="V32" i="3"/>
  <c r="U32" i="3"/>
  <c r="Q32" i="3"/>
  <c r="P32" i="3"/>
  <c r="W25" i="3"/>
  <c r="V25" i="3"/>
  <c r="U25" i="3"/>
  <c r="T25" i="3"/>
  <c r="S25" i="3"/>
  <c r="R25" i="3"/>
  <c r="AC25" i="3"/>
  <c r="W23" i="3"/>
  <c r="V23" i="3"/>
  <c r="AC23" i="3"/>
  <c r="W22" i="3"/>
  <c r="V22" i="3"/>
  <c r="U22" i="3"/>
  <c r="T22" i="3"/>
  <c r="S22" i="3"/>
  <c r="R22" i="3"/>
  <c r="Q22" i="3"/>
  <c r="P22" i="3"/>
  <c r="AC22" i="3"/>
  <c r="AC21" i="3"/>
  <c r="V21" i="3"/>
  <c r="W21" i="3"/>
  <c r="W20" i="3"/>
  <c r="V20" i="3"/>
  <c r="U20" i="3"/>
  <c r="T20" i="3"/>
  <c r="S20" i="3"/>
  <c r="AC20" i="3"/>
  <c r="P20" i="3"/>
  <c r="Q20" i="3"/>
  <c r="R20" i="3"/>
  <c r="Q19" i="3"/>
  <c r="S19" i="3"/>
  <c r="P19" i="3"/>
  <c r="W19" i="3"/>
  <c r="V19" i="3"/>
  <c r="U19" i="3"/>
  <c r="T19" i="3"/>
  <c r="R19" i="3"/>
  <c r="AC19" i="3"/>
  <c r="S18" i="3"/>
  <c r="R18" i="3"/>
  <c r="T18" i="3"/>
  <c r="Q18" i="3"/>
  <c r="AC18" i="3"/>
  <c r="P18" i="3"/>
  <c r="U18" i="3"/>
  <c r="V18" i="3"/>
  <c r="W18" i="3"/>
  <c r="P17" i="3"/>
  <c r="R17" i="3"/>
  <c r="S17" i="3"/>
  <c r="AC17" i="3"/>
  <c r="Q17" i="3"/>
  <c r="T17" i="3"/>
  <c r="U17" i="3"/>
  <c r="V17" i="3"/>
  <c r="W17" i="3"/>
  <c r="O17" i="3"/>
  <c r="T15" i="3"/>
  <c r="S15" i="3"/>
  <c r="R15" i="3"/>
  <c r="Q15" i="3"/>
  <c r="P15" i="3"/>
  <c r="O15" i="3"/>
  <c r="N15" i="3"/>
  <c r="AC15" i="3"/>
  <c r="W15" i="3"/>
  <c r="Y39" i="3" s="1"/>
  <c r="Z39" i="3" s="1"/>
  <c r="V15" i="3"/>
  <c r="U15" i="3"/>
  <c r="AC12" i="3"/>
  <c r="T12" i="3"/>
  <c r="R12" i="3"/>
  <c r="S12" i="3"/>
  <c r="V12" i="3"/>
  <c r="U12" i="3"/>
  <c r="Q12" i="3"/>
  <c r="P12" i="3"/>
  <c r="AC10" i="3"/>
  <c r="W10" i="3"/>
  <c r="U9" i="3"/>
  <c r="O9" i="3"/>
  <c r="T9" i="3"/>
  <c r="W9" i="3"/>
  <c r="V9" i="3"/>
  <c r="S9" i="3"/>
  <c r="R9" i="3"/>
  <c r="Q9" i="3"/>
  <c r="P9" i="3"/>
  <c r="AC9" i="3"/>
  <c r="N9" i="3"/>
  <c r="S8" i="3"/>
  <c r="U8" i="3"/>
  <c r="W8" i="3"/>
  <c r="T8" i="3"/>
  <c r="P8" i="3"/>
  <c r="O8" i="3"/>
  <c r="N8" i="3"/>
  <c r="AC8" i="3"/>
  <c r="V8" i="3"/>
  <c r="R8" i="3"/>
  <c r="Q8" i="3"/>
  <c r="W7" i="3"/>
  <c r="V7" i="3"/>
  <c r="U7" i="3"/>
  <c r="AC7" i="3"/>
  <c r="T7" i="3"/>
  <c r="R7" i="3"/>
  <c r="Q7" i="3"/>
  <c r="O7" i="3"/>
  <c r="S7" i="3"/>
  <c r="P7" i="3"/>
  <c r="N7" i="3"/>
  <c r="N6" i="3"/>
  <c r="R6" i="3"/>
  <c r="S6" i="3"/>
  <c r="T6" i="3"/>
  <c r="W6" i="3"/>
  <c r="V6" i="3"/>
  <c r="O6" i="3"/>
  <c r="Q6" i="3"/>
  <c r="U6" i="3"/>
  <c r="P6" i="3"/>
  <c r="AC6" i="3"/>
  <c r="E6" i="5" l="1"/>
  <c r="D23" i="5"/>
  <c r="E23" i="5" s="1"/>
  <c r="Y37" i="3"/>
  <c r="Z37" i="3" s="1"/>
  <c r="Y40" i="3"/>
  <c r="Z40" i="3" s="1"/>
  <c r="Y41" i="3"/>
  <c r="Z41" i="3" s="1"/>
  <c r="Y42" i="3"/>
  <c r="Z42" i="3" s="1"/>
  <c r="Y44" i="3"/>
  <c r="Z44" i="3" s="1"/>
  <c r="Y46" i="3"/>
  <c r="Z46" i="3" s="1"/>
  <c r="Y6" i="3"/>
  <c r="Z6" i="3" s="1"/>
  <c r="Y7" i="3"/>
  <c r="Z7" i="3" s="1"/>
  <c r="Y8" i="3"/>
  <c r="Z8" i="3" s="1"/>
  <c r="Y9" i="3"/>
  <c r="Z9" i="3" s="1"/>
  <c r="Y10" i="3"/>
  <c r="Z10" i="3" s="1"/>
  <c r="Y11" i="3"/>
  <c r="Z11" i="3" s="1"/>
  <c r="Y19" i="3"/>
  <c r="Z19" i="3" s="1"/>
  <c r="Y20" i="3"/>
  <c r="Z20" i="3" s="1"/>
  <c r="Y36" i="3"/>
  <c r="Z36" i="3" s="1"/>
  <c r="Y13" i="3"/>
  <c r="Z13" i="3" s="1"/>
  <c r="Y17" i="3"/>
  <c r="Z17" i="3" s="1"/>
  <c r="Y18" i="3"/>
  <c r="Z18" i="3" s="1"/>
  <c r="Y21" i="3"/>
  <c r="Z21" i="3" s="1"/>
  <c r="Y22" i="3"/>
  <c r="Z22" i="3" s="1"/>
  <c r="Y23" i="3"/>
  <c r="Z23" i="3" s="1"/>
  <c r="Y24" i="3"/>
  <c r="Z24" i="3" s="1"/>
  <c r="Y25" i="3"/>
  <c r="Z25" i="3" s="1"/>
  <c r="Y26" i="3"/>
  <c r="Z26" i="3" s="1"/>
  <c r="Y14" i="3"/>
  <c r="Z14" i="3" s="1"/>
  <c r="Y27" i="3"/>
  <c r="Z27" i="3" s="1"/>
  <c r="Y28" i="3"/>
  <c r="Z28" i="3" s="1"/>
  <c r="Y29" i="3"/>
  <c r="Z29" i="3" s="1"/>
  <c r="Y30" i="3"/>
  <c r="Z30" i="3" s="1"/>
  <c r="Y15" i="3"/>
  <c r="Z15" i="3" s="1"/>
  <c r="Y16" i="3"/>
  <c r="Z16" i="3" s="1"/>
  <c r="Y31" i="3"/>
  <c r="Z31" i="3" s="1"/>
  <c r="Y33" i="3"/>
  <c r="Z33" i="3" s="1"/>
  <c r="Y34" i="3"/>
  <c r="Z34" i="3" s="1"/>
  <c r="Y35" i="3"/>
  <c r="Z35" i="3" s="1"/>
  <c r="Y38" i="3"/>
  <c r="Z38" i="3" s="1"/>
  <c r="Y43" i="3"/>
  <c r="Z43" i="3" s="1"/>
  <c r="Y45" i="3"/>
  <c r="Z45" i="3" s="1"/>
  <c r="Y47" i="3"/>
  <c r="Z47" i="3" s="1"/>
  <c r="B6" i="5"/>
  <c r="B8" i="5"/>
  <c r="C20" i="5"/>
  <c r="F6" i="5"/>
  <c r="G6" i="5"/>
  <c r="D24" i="5"/>
  <c r="E24" i="5" s="1"/>
  <c r="C13" i="5"/>
  <c r="F24" i="5"/>
  <c r="F23" i="5"/>
  <c r="C23" i="5"/>
  <c r="C14" i="5"/>
  <c r="C15" i="5"/>
  <c r="C16" i="5"/>
  <c r="C24" i="5"/>
  <c r="C19" i="5"/>
  <c r="C17" i="5"/>
  <c r="C18" i="5"/>
  <c r="C21" i="5"/>
  <c r="Y32" i="3"/>
  <c r="Z32" i="3" s="1"/>
  <c r="Y12" i="3"/>
  <c r="Z12" i="3" s="1"/>
  <c r="B39" i="5" l="1"/>
  <c r="B38" i="5"/>
  <c r="B37" i="5"/>
  <c r="B36" i="5"/>
  <c r="B35" i="5"/>
  <c r="B34" i="5"/>
  <c r="B33" i="5"/>
  <c r="B32" i="5"/>
  <c r="B31" i="5"/>
  <c r="B30" i="5"/>
  <c r="B29" i="5"/>
  <c r="B28" i="5"/>
  <c r="C39" i="5" l="1"/>
  <c r="D39" i="5"/>
  <c r="F39" i="5"/>
  <c r="G39" i="5"/>
  <c r="C38" i="5"/>
  <c r="D38" i="5"/>
  <c r="F38" i="5"/>
  <c r="G38" i="5"/>
  <c r="C37" i="5"/>
  <c r="D37" i="5"/>
  <c r="F37" i="5"/>
  <c r="G37" i="5"/>
  <c r="C36" i="5"/>
  <c r="D36" i="5"/>
  <c r="F36" i="5"/>
  <c r="G36" i="5"/>
  <c r="C35" i="5"/>
  <c r="D35" i="5"/>
  <c r="F35" i="5"/>
  <c r="G35" i="5"/>
  <c r="C34" i="5"/>
  <c r="D34" i="5"/>
  <c r="F34" i="5"/>
  <c r="G34" i="5"/>
  <c r="C33" i="5"/>
  <c r="D33" i="5"/>
  <c r="F33" i="5"/>
  <c r="G33" i="5"/>
  <c r="C32" i="5"/>
  <c r="D32" i="5"/>
  <c r="F32" i="5"/>
  <c r="G32" i="5"/>
  <c r="C31" i="5"/>
  <c r="D31" i="5"/>
  <c r="F31" i="5"/>
  <c r="G31" i="5"/>
  <c r="C30" i="5"/>
  <c r="D30" i="5"/>
  <c r="F30" i="5"/>
  <c r="G30" i="5"/>
  <c r="C29" i="5"/>
  <c r="D29" i="5"/>
  <c r="F29" i="5"/>
  <c r="G29" i="5"/>
  <c r="C28" i="5"/>
  <c r="D28" i="5"/>
  <c r="F28" i="5"/>
  <c r="G28" i="5"/>
</calcChain>
</file>

<file path=xl/sharedStrings.xml><?xml version="1.0" encoding="utf-8"?>
<sst xmlns="http://schemas.openxmlformats.org/spreadsheetml/2006/main" count="642" uniqueCount="390">
  <si>
    <t>Internal audit report evaluation matrix</t>
  </si>
  <si>
    <t>Scored from the Global Internal Audit Standards, 2024 edition, effective 9 January 2025. This workbook is a review tool. It is not published or endorsed by the Institute of Internal Auditors, and it is not a substitute for the Standards.</t>
  </si>
  <si>
    <t>What this matrix is, and what it is not</t>
  </si>
  <si>
    <t>This matrix tests one communication against the Requirements in the Standards. The lines that govern a final engagement communication are Standards 15.1, 14.5, 14.4, 14.3, 14.2, 14.1, 13.4, 13.3, 13.1, 11.2, 11.3, 11.4, 11.5, 5.1, and 5.2. Standard 15.2, confirming that actions were implemented, is follow-up. It is not scored on the first assignment report. A line taken from a Requirement is a Must. A line taken from considerations is a Should. Standards 11.4 and 11.5 are Requirements that apply only when the facts exist, so G6 and G7 are Must and are N/A on an ordinary engagement. ICAEW does not publish a separate standard for the form of an internal audit report. Where an ICAEW member performs internal audit, the Standards above are the reporting requirements. The ICAEW Code of Ethics tracks Principles 1, 2, and 5 of the Standards. Those principles are scored here only through Standards 11.2, 5.1, and 5.2. The Chartered IIA Internal Audit Code of Practice, section C, describes reporting to the audit committee across the year, including an annual opinion. It is not used as a scored line on an engagement report. An opinion on the whole organisation is a different product. Score it with document type Overall opinion. That uses Standard 11.3, not the Code.</t>
  </si>
  <si>
    <t>Start with the document, not the first line</t>
  </si>
  <si>
    <t>On 2. Details, set the type, the status, and what evidence you have. Not an engagement report: stop. The scorecard returns Outside this matrix. A risk assessment or an annual plan is not scored as a failed audit report. Draft: score the lines, and use Not tested on approval, owners, dates, and management replies that are still open. The decision is prefixed Draft. A draft is not treated as an issued report that failed approval. Report only: if the page is silent on chief audit executive approval, on distribution, or on a confidentiality restriction, enter Not tested. Those requirements still exist. This review cannot see them. Not tested does not, by itself, withhold the report. Score 0 only when the record shows the requirement was broken. On an ordinary assurance or advisory report, score G6 and G7 as N/A. They apply only when this document corrects a significant error, or shows that management accepted risk above appetite.</t>
  </si>
  <si>
    <t>Two results</t>
  </si>
  <si>
    <t>Findings index: criteria, condition, cause, effect, priority, evidence, and whether significant points stand out. Close index: objectives, scope, limitations, the conclusion, the actions, the seven qualities in Standard 11.2, and issuance. A report can test well and still not be issuable. The two indexes keep those facts apart. The issue decision uses the gate, not the higher index.</t>
  </si>
  <si>
    <t>How to score</t>
  </si>
  <si>
    <t>Score</t>
  </si>
  <si>
    <t>Label</t>
  </si>
  <si>
    <t>Use it when</t>
  </si>
  <si>
    <t>3</t>
  </si>
  <si>
    <t>Strong</t>
  </si>
  <si>
    <t>The requirement is met, and the report states it specifically enough that the reader can use the point.</t>
  </si>
  <si>
    <t>2</t>
  </si>
  <si>
    <t>Met</t>
  </si>
  <si>
    <t>The requirement is met.</t>
  </si>
  <si>
    <t>1</t>
  </si>
  <si>
    <t>Partly met</t>
  </si>
  <si>
    <t>The point is present, but it is generic, incomplete, or not usable for a decision. A stated conclusion that the report then disclaims scores 1 on E1, not 0.</t>
  </si>
  <si>
    <t>0</t>
  </si>
  <si>
    <t>Not met</t>
  </si>
  <si>
    <t>Missing, contradicted, or misleading. A count of findings, with no conclusion, scores 0 on E1.</t>
  </si>
  <si>
    <t>N/A</t>
  </si>
  <si>
    <t>Not applicable</t>
  </si>
  <si>
    <t>Only where column L says Yes. When E1 is 0, the formula switches E2 off. Do not enter a second score for the missing conclusion.</t>
  </si>
  <si>
    <t>Not tested</t>
  </si>
  <si>
    <t>Only where the matrix says Not tested is permitted. The page or the file does not contain the evidence. Excluded from the index and from the gate.</t>
  </si>
  <si>
    <t>Issue decision</t>
  </si>
  <si>
    <t>Not tested and permitted N/A are ignored by the gate and by both indexes. A Met is 2 out of a maximum of 3, so a report that meets every scored line shows 67%. The decision is the gate. Column G on 3. Matrix looks up 6. Standards. Where a line uses a consideration rather than a Requirement, the label says so. Column H switches E2 off when E1 is 0, B2 off when B1 is N/A, D1 to D5 off when C1 is N/A, G3 off before 9 January 2025, and O1 to O5 off unless the document type is Overall opinion. The gap list shows the first 12 gaps. The counts above it include the rest. Yellow cells are the inputs. The other cells are protected so a sort or a typed formula does not break the workbook. Use Review, Unprotect Sheet. There is no password. The findings sheet holds 20 findings. Its counts feed column H. They do not write the score.</t>
  </si>
  <si>
    <t>Decision</t>
  </si>
  <si>
    <t>Rule</t>
  </si>
  <si>
    <t>Outside this matrix</t>
  </si>
  <si>
    <t>Document type is Not an engagement report.</t>
  </si>
  <si>
    <t>Draft — plus the gate below</t>
  </si>
  <si>
    <t>Status is Draft. The gate says what would happen if this text were issued as it stands.</t>
  </si>
  <si>
    <t>Not started</t>
  </si>
  <si>
    <t>No scores have been entered.</t>
  </si>
  <si>
    <t>Withhold</t>
  </si>
  <si>
    <t>Any Must that was scored is 0, any Must that should have been scored is blank, or the score is not 3, 2, 1, 0, N/A, or Not tested.</t>
  </si>
  <si>
    <t>Revise before issue</t>
  </si>
  <si>
    <t>No Must is 0, but at least one Must is 1, or three or more Should items are 0.</t>
  </si>
  <si>
    <t>Accept, and record the gaps</t>
  </si>
  <si>
    <t>Every scored Must is 2 or 3, and at least one Should is 0 or 1, with fewer than three Should items at 0.</t>
  </si>
  <si>
    <t>Accept</t>
  </si>
  <si>
    <t>Every scored Must is 2 or 3, and no Should is 0 or 1.</t>
  </si>
  <si>
    <t>This workbook paraphrases the Global Internal Audit Standards so a reviewer can score one communication. It is not the Standards. It is not published or endorsed by the Institute of Internal Auditors or by ICAEW. Where the workbook and the Standards differ, follow the Standards. Edition used: 9 January 2024, effective 9 January 2025.</t>
  </si>
  <si>
    <t>Author: Majid Mumtaz, CIA, ACA, FCCA, COSO ERM Certified. Strategic audit and governance advisor, Dubai. Portfolio: https://majidrajpar.github.io/portfolio_my/   LinkedIn: https://www.linkedin.com/in/majid-m-4b097118/   Email: majidrajpar@gmail.com</t>
  </si>
  <si>
    <t>Engagement details</t>
  </si>
  <si>
    <t>Yellow cells are inputs. Set type, status, evidence, and the standards era before scoring.</t>
  </si>
  <si>
    <t>Field</t>
  </si>
  <si>
    <t>Entry</t>
  </si>
  <si>
    <t>Note</t>
  </si>
  <si>
    <t>Report title</t>
  </si>
  <si>
    <t>Title as it appears on the communication.</t>
  </si>
  <si>
    <t>Report reference</t>
  </si>
  <si>
    <t>Document number or engagement code.</t>
  </si>
  <si>
    <t>Organisation</t>
  </si>
  <si>
    <t>Entity under review.</t>
  </si>
  <si>
    <t>Activity reviewed</t>
  </si>
  <si>
    <t>Process, function, or risk area.</t>
  </si>
  <si>
    <t>Period covered</t>
  </si>
  <si>
    <t>The period the conclusion relates to.</t>
  </si>
  <si>
    <t>Fieldwork completed</t>
  </si>
  <si>
    <t>Date fieldwork ended.</t>
  </si>
  <si>
    <t>Report date</t>
  </si>
  <si>
    <t>Date of the version under review. Use the printed date.</t>
  </si>
  <si>
    <t>Version</t>
  </si>
  <si>
    <t>Draft number, or Final.</t>
  </si>
  <si>
    <t>Document type</t>
  </si>
  <si>
    <t>Assurance, Advisory, Overall opinion, or Not an engagement report.</t>
  </si>
  <si>
    <t>Status</t>
  </si>
  <si>
    <t>Final or Draft.</t>
  </si>
  <si>
    <t>Evidence in this review</t>
  </si>
  <si>
    <t>Report only, or Report and file.</t>
  </si>
  <si>
    <t>Standards era</t>
  </si>
  <si>
    <t>Before 9 January 2025, or On or after 9 January 2025. This drives line G3.</t>
  </si>
  <si>
    <t>Conclusion as printed</t>
  </si>
  <si>
    <t>Copy the conclusion or rating phrase. Write None if there is no conclusion.</t>
  </si>
  <si>
    <t>Chief audit executive</t>
  </si>
  <si>
    <t>Name, if the report or the file shows one.</t>
  </si>
  <si>
    <t>Reviewer</t>
  </si>
  <si>
    <t>Person completing this matrix.</t>
  </si>
  <si>
    <t>Review date</t>
  </si>
  <si>
    <t>Date of this review.</t>
  </si>
  <si>
    <t>File reference</t>
  </si>
  <si>
    <t>Where the working papers are, if they were used.</t>
  </si>
  <si>
    <t>Scope of this review</t>
  </si>
  <si>
    <t>Record what you could not see: a missing appendix, a sanitized copy, or a file that was not opened. Redaction is not an audit failure. Enter Not tested on an owner, a date, or timeliness when the copy has removed them.</t>
  </si>
  <si>
    <t>Evaluation matrix</t>
  </si>
  <si>
    <t>Column G looks up the Standard on 6. Standards. Column H is a formula and shows when another line switches this one off. Score in column I: 3, 2, 1, 0, N/A, or Not tested. N/A and Not tested only where the columns say Yes. A score of 0, 1, N/A, or Not tested needs a comment.</t>
  </si>
  <si>
    <t>Ref</t>
  </si>
  <si>
    <t>Domain</t>
  </si>
  <si>
    <t>Index</t>
  </si>
  <si>
    <t>Level</t>
  </si>
  <si>
    <t>Criterion</t>
  </si>
  <si>
    <t>What the standard requires</t>
  </si>
  <si>
    <t>Source</t>
  </si>
  <si>
    <t>Depends on</t>
  </si>
  <si>
    <t>Evidence</t>
  </si>
  <si>
    <t>Comment</t>
  </si>
  <si>
    <t>N/A ok</t>
  </si>
  <si>
    <t>Not tested ok</t>
  </si>
  <si>
    <t>Points</t>
  </si>
  <si>
    <t>Max</t>
  </si>
  <si>
    <t>Must0</t>
  </si>
  <si>
    <t>Must1</t>
  </si>
  <si>
    <t>MustBlank</t>
  </si>
  <si>
    <t>BadNA</t>
  </si>
  <si>
    <t>BadNT</t>
  </si>
  <si>
    <t>Should0</t>
  </si>
  <si>
    <t>Should1</t>
  </si>
  <si>
    <t>Scored</t>
  </si>
  <si>
    <t>Num</t>
  </si>
  <si>
    <t>Gap</t>
  </si>
  <si>
    <t>GapNo</t>
  </si>
  <si>
    <t>Switch</t>
  </si>
  <si>
    <t>StdKey</t>
  </si>
  <si>
    <t>BadScore</t>
  </si>
  <si>
    <t>A1</t>
  </si>
  <si>
    <t>Objectives and scope</t>
  </si>
  <si>
    <t>Close</t>
  </si>
  <si>
    <t>Must</t>
  </si>
  <si>
    <t>Objectives state the purpose and the specific goals</t>
  </si>
  <si>
    <t>The report states what the engagement set out to achieve, specifically enough that the conclusion can answer it. A single line that only says the work reviewed the existence and effectiveness of key controls scores 1.</t>
  </si>
  <si>
    <t>No</t>
  </si>
  <si>
    <t>13.3;15.1</t>
  </si>
  <si>
    <t>A2</t>
  </si>
  <si>
    <t>Scope sets the boundaries</t>
  </si>
  <si>
    <t>Scope names the activities, the locations or units, the processes or systems, and the period, and it is wide enough to meet the objectives. A period and a process name, with no units and no boundary, scores 1.</t>
  </si>
  <si>
    <t>A3</t>
  </si>
  <si>
    <t>Scope limitations are explained</t>
  </si>
  <si>
    <t>A limitation that stopped the work is described, with its effect on the conclusion. Use N/A when the report does not show a scope limitation. A general sentence that the work may not have found every weakness, with no effect on the conclusion, scores 1.</t>
  </si>
  <si>
    <t>Yes</t>
  </si>
  <si>
    <t>15.1;13.3</t>
  </si>
  <si>
    <t>B1</t>
  </si>
  <si>
    <t>Criteria</t>
  </si>
  <si>
    <t>Findings</t>
  </si>
  <si>
    <t>Evaluation criteria are identified</t>
  </si>
  <si>
    <t>The report names the benchmark: a policy, law, regulation, contract, framework, or stated control objective. “As per practice” or “key controls,” with no source, scores 1. Use N/A only for an advisory engagement whose terms did not require criteria.</t>
  </si>
  <si>
    <t>13.4;14.2</t>
  </si>
  <si>
    <t>B2</t>
  </si>
  <si>
    <t>Criteria are adequate</t>
  </si>
  <si>
    <t>The criteria are relevant, aligned to the objectives of the activity, and able to support a reliable comparison. Another competent auditor could apply them. Use N/A when B1 is N/A.</t>
  </si>
  <si>
    <t>13.4</t>
  </si>
  <si>
    <t>C1</t>
  </si>
  <si>
    <t>Condition is set against the criteria</t>
  </si>
  <si>
    <t>Each finding states what is happening and how that differs from the criteria. Use N/A only when the engagement has no findings. In that case the conclusion must give the positive assurance required by Standard 14.2.</t>
  </si>
  <si>
    <t>14.2</t>
  </si>
  <si>
    <t>C2</t>
  </si>
  <si>
    <t>Root cause is identified when it can be</t>
  </si>
  <si>
    <t>The report gives the cause of the difference and, where it can be determined, the root cause. Saying the cause could not be determined, and why, scores 2. Restating the condition scores 1. Silence scores 1. Score 0 only when a significant finding asserts a cause that the evidence contradicts.</t>
  </si>
  <si>
    <t>14.3</t>
  </si>
  <si>
    <t>C3</t>
  </si>
  <si>
    <t>Effect is evaluated</t>
  </si>
  <si>
    <t>The report states the effect, including the impact and, where it changes the rating, the likelihood, on governance, risk management, or control. A generic line such as “financial loss” or “business interruption,” with no link to the finding, scores 1.</t>
  </si>
  <si>
    <t>C4</t>
  </si>
  <si>
    <t>Findings are prioritised</t>
  </si>
  <si>
    <t>Every finding has a significance or priority, using the function’s scale, and the scale is defined or referenced. Labels with no meaning score 1. No priority scores 0. Use N/A for an advisory engagement that did not undertake to prioritise findings.</t>
  </si>
  <si>
    <t>14.3;15.1</t>
  </si>
  <si>
    <t>C5</t>
  </si>
  <si>
    <t>The basis of the finding is in the report</t>
  </si>
  <si>
    <t>A reader can see relevant, reliable, and sufficient evidence: what was tested, the population or sample, and the result. Redacted names or amounts do not fail this line when the test and the result remain readable.</t>
  </si>
  <si>
    <t>14.1;11.2</t>
  </si>
  <si>
    <t>C6</t>
  </si>
  <si>
    <t>Should</t>
  </si>
  <si>
    <t>Effective performance is acknowledged</t>
  </si>
  <si>
    <t>Where the work found processes operating effectively, the report says so. An exception-only report that is silent on effective controls scores 1. Score 2 when the report found no effective area and does not invent one. The conclusion’s own acknowledgment of effective processes is scored on E1.</t>
  </si>
  <si>
    <t>11.3;14.5</t>
  </si>
  <si>
    <t>D1</t>
  </si>
  <si>
    <t>Actions</t>
  </si>
  <si>
    <t>The action addresses the cause and the gap</t>
  </si>
  <si>
    <t>Each finding has a recommendation or an agreed action that closes the gap, mitigates the risk, or addresses the root cause. An action that only restates the symptom scores 1. Use N/A when there are no findings.</t>
  </si>
  <si>
    <t>14.4;15.1</t>
  </si>
  <si>
    <t>D2</t>
  </si>
  <si>
    <t>A person or role is responsible</t>
  </si>
  <si>
    <t>A named person or role owns each action. “Management,” with no role, scores 0. Use Not tested when the document is a draft awaiting replies, or the owner is redacted in this copy.</t>
  </si>
  <si>
    <t>15.1</t>
  </si>
  <si>
    <t>D3</t>
  </si>
  <si>
    <t>A planned completion date is given</t>
  </si>
  <si>
    <t>Each action has a date, proportionate to the significance. “Ongoing,” “TBD,” or a blank scores 0. A month or a quarter, with no day, scores 1. Use Not tested on the same grounds as D2.</t>
  </si>
  <si>
    <t>D4</t>
  </si>
  <si>
    <t>Action already under way is acknowledged</t>
  </si>
  <si>
    <t>If management had started or finished work before issue, the report says so. Use N/A when no such action is described.</t>
  </si>
  <si>
    <t>D5</t>
  </si>
  <si>
    <t>The action is feasible, and disagreement is recorded</t>
  </si>
  <si>
    <t>The action can be implemented and followed up. Internal audit is not left to operate the control. Where management and internal audit disagree, both positions are in the report.</t>
  </si>
  <si>
    <t>14.4;13.1</t>
  </si>
  <si>
    <t>E1</t>
  </si>
  <si>
    <t>Conclusion</t>
  </si>
  <si>
    <t>The report concludes on the engagement</t>
  </si>
  <si>
    <t>For an assurance engagement, the conclusion judges the effectiveness of the governance, risk management, and/or controls of the activity, against the objectives, and acknowledges effective processes when the work found them. A count of findings is not a conclusion and scores 0. A stated rating that the report itself says is not a conclusion on adequacy or effectiveness scores 1, not 0. For advisory work, score the conclusion against the agreed objectives and do not require a controls opinion.</t>
  </si>
  <si>
    <t>14.5;15.1</t>
  </si>
  <si>
    <t>E2</t>
  </si>
  <si>
    <t>The conclusion matches the findings</t>
  </si>
  <si>
    <t>The conclusion is consistent with the findings and their significance. Use N/A when E1 is 0. Do not also score 0 here. A favourable conclusion over an open high finding, with no explanation, scores 0.</t>
  </si>
  <si>
    <t>14.5</t>
  </si>
  <si>
    <t>F1</t>
  </si>
  <si>
    <t>Communication quality</t>
  </si>
  <si>
    <t>Accurate</t>
  </si>
  <si>
    <t>Free from error and distortion, and faithful to the facts. Names, figures, dates, and ratings that the report does show agree with each other. Do not score 0 only because a knowledge copy redacted a figure. Do score 0 or 1 when two figures in the report contradict each other.</t>
  </si>
  <si>
    <t>15.1;11.2</t>
  </si>
  <si>
    <t>F2</t>
  </si>
  <si>
    <t>Objective</t>
  </si>
  <si>
    <t>Impartial, and the result of a fair assessment of the relevant facts. The tone does not advocate or blame. Contrary evidence is not left out.</t>
  </si>
  <si>
    <t>15.1;11.2;P2</t>
  </si>
  <si>
    <t>F3</t>
  </si>
  <si>
    <t>Clear</t>
  </si>
  <si>
    <t>Logical, and understood by the intended reader. Uncommon terms are explained. Significant detail that supports the findings is included.</t>
  </si>
  <si>
    <t>F4</t>
  </si>
  <si>
    <t>Concise</t>
  </si>
  <si>
    <t>Free of unnecessary detail and repetition. Standard paragraphs that do not change the result score 1 when they crowd the report.</t>
  </si>
  <si>
    <t>F5</t>
  </si>
  <si>
    <t>Constructive</t>
  </si>
  <si>
    <t>Helpful to the organisation and enabling improvement. The tone supports collaboration on the action.</t>
  </si>
  <si>
    <t>F6</t>
  </si>
  <si>
    <t>Complete</t>
  </si>
  <si>
    <t>The reader has relevant, reliable, and sufficient information to reach the same conclusion as the auditor. Do not reduce this score only because E1, D2, or D3 is already scored. Judge whether the evidence and reasoning are whole.</t>
  </si>
  <si>
    <t>F7</t>
  </si>
  <si>
    <t>Timely</t>
  </si>
  <si>
    <t>Issued in time for management to act, given the significance of the issues. Use Not tested when this copy has no real issue date.</t>
  </si>
  <si>
    <t>G1</t>
  </si>
  <si>
    <t>Issuance</t>
  </si>
  <si>
    <t>Approved by the chief audit executive before issue</t>
  </si>
  <si>
    <t>The chief audit executive, or a delegate, approved the communication before issue. The chief audit executive remains responsible. A firm name is not approval. Use Not tested when this review has only the report and the page is silent, or the document is still a draft. Score 0 only when the record shows it was issued without approval.</t>
  </si>
  <si>
    <t>15.1;11.3</t>
  </si>
  <si>
    <t>G2</t>
  </si>
  <si>
    <t>Sent to the people who can act on it</t>
  </si>
  <si>
    <t>The communication reaches parties who can ensure the results are given due consideration. Naming management of the activity scores 2. Use Not tested when a report-only review is silent on distribution. Score 0 when the text says the document is general information and is not to be relied on.</t>
  </si>
  <si>
    <t>G3</t>
  </si>
  <si>
    <t>A conformance statement is supported</t>
  </si>
  <si>
    <t>A statement of conformance with the Global Internal Audit Standards appears only where supervision and the quality programme support it. Use N/A when the report is dated before 9 January 2025. Use N/A when the report makes no conformance claim. Score 0 when conformance is claimed and the report contradicts it.</t>
  </si>
  <si>
    <t>G4</t>
  </si>
  <si>
    <t>Nonconformance is disclosed</t>
  </si>
  <si>
    <t>If the engagement did not conform, the report names the standard, the reason, and the effect on the findings and the conclusion. Use N/A when no nonconformance has been identified. Do not score silence as 0.</t>
  </si>
  <si>
    <t>G5</t>
  </si>
  <si>
    <t>Confidential information is protected</t>
  </si>
  <si>
    <t>Standard 5.2 requires protection of confidential information. It does not require a legend on every report. “Private and confidential,” or an equivalent restriction, scores 2. Score 0 when the communication releases information it treats as confidential, or invites unrestricted circulation. Use Not tested when the page is silent.</t>
  </si>
  <si>
    <t>5.1;5.2</t>
  </si>
  <si>
    <t>G6</t>
  </si>
  <si>
    <t>A significant error has been corrected</t>
  </si>
  <si>
    <t>Use N/A unless this document corrects an earlier issue. On a correction, the new information went promptly to everyone who received the original. A miss here is a Must, because Standard 11.4 applies once a significant error exists.</t>
  </si>
  <si>
    <t>11.4</t>
  </si>
  <si>
    <t>G7</t>
  </si>
  <si>
    <t>Risk accepted above appetite is escalated</t>
  </si>
  <si>
    <t>Use N/A unless the report shows that management accepted a risk above appetite or tolerance. Where it does, the report shows the discussion with senior management and, if unresolved, escalation to the board. A miss here is a Must.</t>
  </si>
  <si>
    <t>11.5</t>
  </si>
  <si>
    <t>H1</t>
  </si>
  <si>
    <t>Reader</t>
  </si>
  <si>
    <t>The opening is enough for the intended reader</t>
  </si>
  <si>
    <t>From the opening, the reader can see the conclusion, the significant findings, and what will be done. A contents list or a ratings table alone scores 1.</t>
  </si>
  <si>
    <t>11.2</t>
  </si>
  <si>
    <t>H2</t>
  </si>
  <si>
    <t>Significant findings stand out</t>
  </si>
  <si>
    <t>Significant risks are distinguishable from lesser points. Housekeeping does not lead.</t>
  </si>
  <si>
    <t>H3</t>
  </si>
  <si>
    <t>A pattern in this engagement is stated</t>
  </si>
  <si>
    <t>Where the findings in this engagement share a cause, the report says so. Use N/A when they do not. A theme across several audits is an 11.3 communication, not a requirement of this report.</t>
  </si>
  <si>
    <t>14.3;11.3</t>
  </si>
  <si>
    <t>H4</t>
  </si>
  <si>
    <t>The result is tied to the activity’s objectives</t>
  </si>
  <si>
    <t>The report says what the findings mean for the activity, including when an impact is serious for the activity and not for the organisation as a whole.</t>
  </si>
  <si>
    <t>H5</t>
  </si>
  <si>
    <t>Management’s position is on the record</t>
  </si>
  <si>
    <t>Management’s response is recorded. Disagreement does not remove either position. Use Not tested on a draft whose response column is still open. On a final report, a blank response scores 1.</t>
  </si>
  <si>
    <t>13.1;14.4</t>
  </si>
  <si>
    <t>O1</t>
  </si>
  <si>
    <t>Overall opinion</t>
  </si>
  <si>
    <t>The request for the overall conclusion is summarised</t>
  </si>
  <si>
    <t>The communication says who asked for the conclusion and what was asked. Leave blank on an engagement report. The scorecard ignores these five lines unless the type is Overall opinion.</t>
  </si>
  <si>
    <t>11.3</t>
  </si>
  <si>
    <t>O2</t>
  </si>
  <si>
    <t>The criteria for the overall conclusion are stated</t>
  </si>
  <si>
    <t>The conclusion names the framework or other criteria it uses, for example a governance or risk and control framework.</t>
  </si>
  <si>
    <t>O3</t>
  </si>
  <si>
    <t>Scope, limitations, and period are stated</t>
  </si>
  <si>
    <t>The scope includes the limitations and the period the conclusion covers.</t>
  </si>
  <si>
    <t>O4</t>
  </si>
  <si>
    <t>The supporting information is summarised</t>
  </si>
  <si>
    <t>The conclusion is supported by relevant, reliable, and sufficient information, summarised in the communication.</t>
  </si>
  <si>
    <t>O5</t>
  </si>
  <si>
    <t>Reliance on other assurance providers is disclosed</t>
  </si>
  <si>
    <t>Any reliance on other assurance providers is disclosed. Use N/A when the conclusion does not rely on others.</t>
  </si>
  <si>
    <t>Finding-level test</t>
  </si>
  <si>
    <t>One row per finding, up to 20. Y = present and usable. P = present but weak. N = absent or wrong. Map these columns to C1, C2, C3, C4, C5, and D1. The matrix remains the scored record. If there are more than 20 findings, record the pattern on the matrix rather than adding a row.</t>
  </si>
  <si>
    <t>Findings logged</t>
  </si>
  <si>
    <t>N on cause</t>
  </si>
  <si>
    <t>N on effect</t>
  </si>
  <si>
    <t>Average / 2</t>
  </si>
  <si>
    <t>Finding title</t>
  </si>
  <si>
    <t>Priority in the report</t>
  </si>
  <si>
    <t>Criteria named</t>
  </si>
  <si>
    <t>Condition against criteria</t>
  </si>
  <si>
    <t>Root cause, or why it could not be found</t>
  </si>
  <si>
    <t>Effect</t>
  </si>
  <si>
    <t>Priority is defined</t>
  </si>
  <si>
    <t>Evidence a reader can see</t>
  </si>
  <si>
    <t>Action addresses the cause</t>
  </si>
  <si>
    <t>Reviewer note</t>
  </si>
  <si>
    <t>Attribute score / 2</t>
  </si>
  <si>
    <t>Carry a pattern into the matrix. Several significant findings with N on cause: score C2 as 1. A single housekeeping finding can stay at 2 on the matrix when the significant findings are sound. Blank owners on a final report score D2 as 0. Blank owners on a draft score Not tested.</t>
  </si>
  <si>
    <t>Cross-reference to the matrix. The suggestion is a formula from the Y, P and N marks. It does not change the score on 3. Matrix.</t>
  </si>
  <si>
    <t>Matrix line</t>
  </si>
  <si>
    <t>Suggested score</t>
  </si>
  <si>
    <t>Score entered on the matrix</t>
  </si>
  <si>
    <t>Same</t>
  </si>
  <si>
    <t>Standard, from the matrix</t>
  </si>
  <si>
    <t>Scorecard</t>
  </si>
  <si>
    <t>Findings index</t>
  </si>
  <si>
    <t>Close index</t>
  </si>
  <si>
    <t>Combined</t>
  </si>
  <si>
    <t>A Met is 2 out of a maximum of 3, so a report that meets every scored line shows 67%. Must weight 2. Should weight 1. Not tested, permitted N/A, and any line column H marks Off are left out of both indexes. That switch is a formula: E2 when E1 is 0, B2 when B1 is N/A, D1 to D5 when C1 is N/A, G3 before 9 January 2025, and O1 to O5 unless the type is Overall opinion. On an ordinary report, enter N/A on G6 and G7.</t>
  </si>
  <si>
    <t>Gate</t>
  </si>
  <si>
    <t>Count</t>
  </si>
  <si>
    <t>Must scored 0</t>
  </si>
  <si>
    <t>Any count above zero forces Withhold.</t>
  </si>
  <si>
    <t>Must left blank</t>
  </si>
  <si>
    <t>A blank Must on an active line forces Withhold. Not tested is not blank.</t>
  </si>
  <si>
    <t>N/A not permitted</t>
  </si>
  <si>
    <t>Forces Withhold until the score is corrected.</t>
  </si>
  <si>
    <t>Not tested not permitted</t>
  </si>
  <si>
    <t>Must scored 1</t>
  </si>
  <si>
    <t>Any count above zero forces Revise before issue. A disclaimed conclusion is a 1 on E1.</t>
  </si>
  <si>
    <t>Should scored 0</t>
  </si>
  <si>
    <t>Three or more forces Revise before issue.</t>
  </si>
  <si>
    <t>Should scored 1</t>
  </si>
  <si>
    <t>Keeps the decision at Accept, and record the gaps.</t>
  </si>
  <si>
    <t>Lines scored</t>
  </si>
  <si>
    <t>A switched-off line does not count, even if a score was typed. The total is every line on the matrix.</t>
  </si>
  <si>
    <t>Score not on the list</t>
  </si>
  <si>
    <t>A word, or a number other than 0, 1, 2, or 3, forces Withhold.</t>
  </si>
  <si>
    <t>Maximum</t>
  </si>
  <si>
    <t>Result</t>
  </si>
  <si>
    <t>Must at 0 or 1 in this index</t>
  </si>
  <si>
    <t>First 12 gaps. Must lines left blank once scoring has started, lines scored 0 or 1, and any score that is not 3, 2, 1, 0, N/A, or Not tested. Further gaps stay in the counts above.</t>
  </si>
  <si>
    <t>Reviewer conclusion</t>
  </si>
  <si>
    <t>State whether the findings index and the close index tell different stories, and whether any Not tested line still has to be cleared before issue.</t>
  </si>
  <si>
    <t>Standards cited by this matrix</t>
  </si>
  <si>
    <t>Each label is a formula the matrix looks up. The sentences are a paraphrase for this review. They are not the text of the Global Internal Audit Standards. Where they differ from the 9 January 2024 edition, follow the Standards. Column E lists the matrix lines that cite the standard.</t>
  </si>
  <si>
    <t>Standard</t>
  </si>
  <si>
    <t>Name</t>
  </si>
  <si>
    <t>Where in the Standards</t>
  </si>
  <si>
    <t>What it requires of this review</t>
  </si>
  <si>
    <t>Matrix lines</t>
  </si>
  <si>
    <t>Label the matrix looks up</t>
  </si>
  <si>
    <t>5.1</t>
  </si>
  <si>
    <t>Use of Information</t>
  </si>
  <si>
    <t>Requirements</t>
  </si>
  <si>
    <t>Information is used only as policy and law allow, and not for personal gain or against the organisation’s legitimate objectives.</t>
  </si>
  <si>
    <t>5.2</t>
  </si>
  <si>
    <t>Protection of Information</t>
  </si>
  <si>
    <t>Confidential information is not disclosed to unauthorised parties, and the risk of inadvertent disclosure is managed.</t>
  </si>
  <si>
    <t>Effective Communication</t>
  </si>
  <si>
    <t>Communications are accurate, objective, clear, concise, constructive, complete, and timely. The definitions of those seven qualities sit in the considerations for Standard 11.2.</t>
  </si>
  <si>
    <t>Communicating Results</t>
  </si>
  <si>
    <t>Results go to the board and senior management. The chief audit executive approves the final communication before it is issued. Where an overall conclusion is required, it states the request, the criteria, the scope and period, the support, and any reliance on other assurance providers.</t>
  </si>
  <si>
    <t>Errors and Omissions</t>
  </si>
  <si>
    <t>If a final communication contains a significant error or omission, corrected information goes promptly to everyone who received the original.</t>
  </si>
  <si>
    <t>Communicating the Acceptance of Risks</t>
  </si>
  <si>
    <t>Risk that management accepts above appetite or tolerance is discussed with senior management and, if unresolved, escalated to the board.</t>
  </si>
  <si>
    <t>13.1</t>
  </si>
  <si>
    <t>Engagement Communication</t>
  </si>
  <si>
    <t>Results are discussed with the management of the activity. A disagreement does not, by itself, require the result to be changed.</t>
  </si>
  <si>
    <t>13.3</t>
  </si>
  <si>
    <t>Engagement Objectives and Scope</t>
  </si>
  <si>
    <t>Objectives state the purpose and the specific goals. Scope sets the activities, locations, processes, systems, and period, and is sufficient for those objectives. A scope limitation is a restriction that stopped the work.</t>
  </si>
  <si>
    <t>Evaluation Criteria</t>
  </si>
  <si>
    <t>The most relevant criteria are identified and assessed for adequacy. Adequate criteria are relevant, aligned to the objectives, and able to support a reliable comparison. That test of adequacy is described in the considerations.</t>
  </si>
  <si>
    <t>14.1</t>
  </si>
  <si>
    <t>Gathering Information for Analyses and Evaluation</t>
  </si>
  <si>
    <t>The information is relevant, reliable, and sufficient for a prudent, informed person to repeat the work and reach the same conclusion.</t>
  </si>
  <si>
    <t>Analyses and Potential Engagement Findings</t>
  </si>
  <si>
    <t>The condition is compared with the criteria. A difference is evaluated further. Where there is no difference, the conclusion gives assurance on the activity’s governance, risk management, and controls.</t>
  </si>
  <si>
    <t>Evaluation of Findings</t>
  </si>
  <si>
    <t>Each potential finding is evaluated for significance, including likelihood and impact. Root cause is sought when it can be determined. Each finding is prioritised. A significant risk is reported as a finding.</t>
  </si>
  <si>
    <t>14.4</t>
  </si>
  <si>
    <t>Recommendations and Action Plans</t>
  </si>
  <si>
    <t>The action resolves the gap, mitigates the risk, or addresses the cause. It is discussed with management. Disagreement follows a methodology that keeps both positions. Management implements the action.</t>
  </si>
  <si>
    <t>Engagement Conclusions</t>
  </si>
  <si>
    <t>The conclusion summarises the results against the engagement objectives and management’s objectives, and judges the findings taken together. An assurance conclusion judges the effectiveness of governance, risk management, and controls, and acknowledges processes that were found to be effective.</t>
  </si>
  <si>
    <t>Final Engagement Communication</t>
  </si>
  <si>
    <t>The final communication includes objectives, scope, actions where they apply, and conclusions. Assurance work also includes the findings and their priority, any scope limitation, and a conclusion on the governance, risk management, and controls of the activity. Owners and planned dates are stated. Action already started is acknowledged. The seven qualities in Standard 11.2 apply. The chief audit executive approves it before issue, and it goes to people who can act on it. Nonconformance is disclosed when it occurred. A conformance statement is a consideration, and only where supervision and the quality programme support it.</t>
  </si>
  <si>
    <t>15.2</t>
  </si>
  <si>
    <t>Confirming the Implementation of Recommendations or Action Plans</t>
  </si>
  <si>
    <t>Follow-up confirms that agreed actions were implemented. It is not a line on the first assignment report.</t>
  </si>
  <si>
    <t>P2</t>
  </si>
  <si>
    <t>Principle 2 Maintain Objectivity</t>
  </si>
  <si>
    <t>Principle</t>
  </si>
  <si>
    <t>The auditor is impartial, and the conclusion is a fair assessment of the relevant facts. Scored only through the objective quality in Standard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</si>
</sst>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20"/>
      <color rgb="FF1B3A4B"/>
      <name val="Calibri"/>
    </font>
    <font>
      <i/>
      <sz val="10"/>
      <color rgb="FF52606D"/>
      <name val="Calibri"/>
    </font>
    <font>
      <b/>
      <sz val="14"/>
      <color rgb="FF1B3A4B"/>
      <name val="Calibri"/>
    </font>
    <font>
      <sz val="11"/>
      <color rgb="FF1F2933"/>
      <name val="Calibri"/>
    </font>
    <font>
      <b/>
      <sz val="11"/>
      <color rgb="FFFFFFFF"/>
      <name val="Calibri"/>
    </font>
    <font>
      <b/>
      <sz val="11"/>
      <color rgb="FF1F2933"/>
      <name val="Calibri"/>
    </font>
    <font>
      <sz val="10"/>
      <color rgb="FF1F2933"/>
      <name val="Calibri"/>
    </font>
    <font>
      <b/>
      <sz val="12"/>
      <color rgb="FF1F6F6A"/>
      <name val="Calibri"/>
    </font>
    <font>
      <b/>
      <sz val="10"/>
      <color rgb="FF1B3A4B"/>
      <name val="Calibri"/>
    </font>
    <font>
      <b/>
      <sz val="10"/>
      <color rgb="FF9B1C1C"/>
      <name val="Calibri"/>
    </font>
    <font>
      <b/>
      <sz val="10"/>
      <color rgb="FF1F2933"/>
      <name val="Calibri"/>
    </font>
    <font>
      <sz val="8"/>
      <color rgb="FFFFFFFF"/>
      <name val="Calibri"/>
    </font>
    <font>
      <sz val="8"/>
      <color rgb="FF9AA5B1"/>
      <name val="Calibri"/>
    </font>
    <font>
      <b/>
      <sz val="11"/>
      <color rgb="FF1B3A4B"/>
      <name val="Calibri"/>
    </font>
    <font>
      <b/>
      <sz val="18"/>
      <color rgb="FF1B3A4B"/>
      <name val="Calibri"/>
    </font>
    <font>
      <b/>
      <sz val="22"/>
      <color rgb="FF1B3A4B"/>
      <name val="Calibri"/>
    </font>
    <font>
      <b/>
      <sz val="12"/>
      <color rgb="FF1B3A4B"/>
      <name val="Calibri"/>
    </font>
    <font>
      <i/>
      <sz val="10"/>
      <color rgb="FF1F4E79"/>
      <name val="Calibri"/>
    </font>
  </fonts>
  <fills count="24">
    <fill>
      <patternFill patternType="none"/>
    </fill>
    <fill>
      <patternFill patternType="gray125"/>
    </fill>
    <fill>
      <patternFill patternType="solid">
        <fgColor rgb="FF1F6F6A"/>
      </patternFill>
    </fill>
    <fill>
      <patternFill patternType="solid">
        <fgColor rgb="FFB7E4C7"/>
      </patternFill>
    </fill>
    <fill>
      <patternFill patternType="solid">
        <fgColor rgb="FFD8F3DC"/>
      </patternFill>
    </fill>
    <fill>
      <patternFill patternType="solid">
        <fgColor rgb="FFFDE68A"/>
      </patternFill>
    </fill>
    <fill>
      <patternFill patternType="solid">
        <fgColor rgb="FFFECACA"/>
      </patternFill>
    </fill>
    <fill>
      <patternFill patternType="solid">
        <fgColor rgb="FFE5E7EB"/>
      </patternFill>
    </fill>
    <fill>
      <patternFill patternType="solid">
        <fgColor rgb="FFE0E7FF"/>
      </patternFill>
    </fill>
    <fill>
      <patternFill patternType="solid">
        <fgColor rgb="FF1B3A4B"/>
      </patternFill>
    </fill>
    <fill>
      <patternFill patternType="solid">
        <fgColor rgb="FFFFFFFF"/>
      </patternFill>
    </fill>
    <fill>
      <patternFill patternType="solid">
        <fgColor rgb="FFF7F6F3"/>
      </patternFill>
    </fill>
    <fill>
      <patternFill patternType="solid">
        <fgColor rgb="FFFFF6D8"/>
      </patternFill>
    </fill>
    <fill>
      <patternFill patternType="solid">
        <fgColor rgb="FFE7F0F4"/>
      </patternFill>
    </fill>
    <fill>
      <patternFill patternType="solid">
        <fgColor rgb="FFEEF2F5"/>
      </patternFill>
    </fill>
    <fill>
      <patternFill patternType="solid">
        <fgColor rgb="FFE7F4F1"/>
      </patternFill>
    </fill>
    <fill>
      <patternFill patternType="solid">
        <fgColor rgb="FFF8F1E7"/>
      </patternFill>
    </fill>
    <fill>
      <patternFill patternType="solid">
        <fgColor rgb="FFF4EFE7"/>
      </patternFill>
    </fill>
    <fill>
      <patternFill patternType="solid">
        <fgColor rgb="FFEEEAF6"/>
      </patternFill>
    </fill>
    <fill>
      <patternFill patternType="solid">
        <fgColor rgb="FFEAF2EA"/>
      </patternFill>
    </fill>
    <fill>
      <patternFill patternType="solid">
        <fgColor rgb="FFF8EAEA"/>
      </patternFill>
    </fill>
    <fill>
      <patternFill patternType="solid">
        <fgColor rgb="FFEEF2F6"/>
      </patternFill>
    </fill>
    <fill>
      <patternFill patternType="solid">
        <fgColor rgb="FFF3E8FF"/>
      </patternFill>
    </fill>
    <fill>
      <patternFill patternType="solid">
        <fgColor rgb="FF7B8794"/>
      </patternFill>
    </fill>
  </fills>
  <borders count="12">
    <border>
      <left/>
      <right/>
      <top/>
      <bottom/>
      <diagonal/>
    </border>
    <border>
      <left style="thin">
        <color rgb="FFD9E2EC"/>
      </left>
      <right style="thin">
        <color rgb="FFD9E2EC"/>
      </right>
      <top style="thin">
        <color rgb="FFD9E2EC"/>
      </top>
      <bottom style="thin">
        <color rgb="FFD9E2EC"/>
      </bottom>
      <diagonal/>
    </border>
    <border>
      <left/>
      <right/>
      <top style="thin">
        <color rgb="FFD9E2EC"/>
      </top>
      <bottom/>
      <diagonal/>
    </border>
    <border>
      <left/>
      <right style="thin">
        <color rgb="FFD9E2EC"/>
      </right>
      <top style="thin">
        <color rgb="FFD9E2EC"/>
      </top>
      <bottom/>
      <diagonal/>
    </border>
    <border>
      <left/>
      <right/>
      <top style="thin">
        <color rgb="FFD9E2EC"/>
      </top>
      <bottom style="thin">
        <color rgb="FFD9E2EC"/>
      </bottom>
      <diagonal/>
    </border>
    <border>
      <left/>
      <right style="thin">
        <color rgb="FFD9E2EC"/>
      </right>
      <top style="thin">
        <color rgb="FFD9E2EC"/>
      </top>
      <bottom style="thin">
        <color rgb="FFD9E2EC"/>
      </bottom>
      <diagonal/>
    </border>
    <border>
      <left style="thin">
        <color rgb="FFD9E2EC"/>
      </left>
      <right/>
      <top/>
      <bottom/>
      <diagonal/>
    </border>
    <border>
      <left/>
      <right style="thin">
        <color rgb="FFD9E2EC"/>
      </right>
      <top/>
      <bottom/>
      <diagonal/>
    </border>
    <border>
      <left style="thin">
        <color rgb="FFD9E2EC"/>
      </left>
      <right/>
      <top/>
      <bottom style="thin">
        <color rgb="FFD9E2EC"/>
      </bottom>
      <diagonal/>
    </border>
    <border>
      <left/>
      <right/>
      <top/>
      <bottom style="thin">
        <color rgb="FFD9E2EC"/>
      </bottom>
      <diagonal/>
    </border>
    <border>
      <left/>
      <right style="thin">
        <color rgb="FFD9E2EC"/>
      </right>
      <top/>
      <bottom style="thin">
        <color rgb="FFD9E2EC"/>
      </bottom>
      <diagonal/>
    </border>
    <border>
      <left style="thin">
        <color rgb="FFD9E2EC"/>
      </left>
      <right style="thin">
        <color rgb="FFD9E2EC"/>
      </right>
      <top/>
      <bottom style="thin">
        <color rgb="FFD9E2EC"/>
      </bottom>
      <diagonal/>
    </border>
  </borders>
  <cellStyleXfs count="1">
    <xf numFmtId="0" fontId="0" fillId="0" borderId="0"/>
  </cellStyleXfs>
  <cellXfs count="126">
    <xf numFmtId="0" fontId="0" fillId="0" borderId="0" xfId="0"/>
    <xf numFmtId="0" fontId="2" fillId="0" borderId="0" xfId="0" applyFont="1"/>
    <xf numFmtId="0" fontId="5" fillId="2" borderId="0" xfId="0" applyFont="1" applyFill="1" applyAlignment="1">
      <alignment horizontal="center" vertical="center" wrapText="1"/>
    </xf>
    <xf numFmtId="0" fontId="5"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5" fillId="9" borderId="0" xfId="0" applyFont="1" applyFill="1"/>
    <xf numFmtId="0" fontId="6" fillId="10"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5" fillId="9" borderId="0" xfId="0" applyFont="1" applyFill="1" applyAlignment="1">
      <alignment horizontal="left" vertical="center" wrapText="1"/>
    </xf>
    <xf numFmtId="0" fontId="5" fillId="9" borderId="1" xfId="0" applyFont="1" applyFill="1" applyBorder="1" applyAlignment="1">
      <alignment horizontal="center" vertical="center" wrapText="1"/>
    </xf>
    <xf numFmtId="0" fontId="12" fillId="23" borderId="0" xfId="0" applyFont="1" applyFill="1"/>
    <xf numFmtId="0" fontId="9" fillId="13" borderId="1" xfId="0" applyFont="1" applyFill="1" applyBorder="1" applyAlignment="1">
      <alignment horizontal="center" vertical="center" wrapText="1"/>
    </xf>
    <xf numFmtId="0" fontId="7" fillId="13" borderId="1" xfId="0" applyFont="1" applyFill="1" applyBorder="1" applyAlignment="1">
      <alignment horizontal="left" vertical="top" wrapText="1"/>
    </xf>
    <xf numFmtId="0" fontId="7" fillId="13"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3" fillId="0" borderId="0" xfId="0" applyFont="1"/>
    <xf numFmtId="0" fontId="9" fillId="15" borderId="1" xfId="0" applyFont="1" applyFill="1" applyBorder="1" applyAlignment="1">
      <alignment horizontal="center" vertical="center" wrapText="1"/>
    </xf>
    <xf numFmtId="0" fontId="7" fillId="15" borderId="1" xfId="0" applyFont="1" applyFill="1" applyBorder="1" applyAlignment="1">
      <alignment horizontal="left" vertical="top" wrapText="1"/>
    </xf>
    <xf numFmtId="0" fontId="7" fillId="15" borderId="1"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9" fillId="16" borderId="1" xfId="0" applyFont="1" applyFill="1" applyBorder="1" applyAlignment="1">
      <alignment horizontal="center" vertical="center" wrapText="1"/>
    </xf>
    <xf numFmtId="0" fontId="7" fillId="16" borderId="1" xfId="0" applyFont="1" applyFill="1" applyBorder="1" applyAlignment="1">
      <alignment horizontal="left" vertical="top" wrapText="1"/>
    </xf>
    <xf numFmtId="0" fontId="7" fillId="16" borderId="1" xfId="0" applyFont="1" applyFill="1" applyBorder="1" applyAlignment="1">
      <alignment horizontal="center" vertical="center" wrapText="1"/>
    </xf>
    <xf numFmtId="0" fontId="10" fillId="16"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9" fillId="17" borderId="1" xfId="0" applyFont="1" applyFill="1" applyBorder="1" applyAlignment="1">
      <alignment horizontal="center" vertical="center" wrapText="1"/>
    </xf>
    <xf numFmtId="0" fontId="7" fillId="17" borderId="1" xfId="0" applyFont="1" applyFill="1" applyBorder="1" applyAlignment="1">
      <alignment horizontal="left" vertical="top" wrapText="1"/>
    </xf>
    <xf numFmtId="0" fontId="7" fillId="17" borderId="1" xfId="0" applyFont="1" applyFill="1" applyBorder="1" applyAlignment="1">
      <alignment horizontal="center" vertical="center" wrapText="1"/>
    </xf>
    <xf numFmtId="0" fontId="10"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9" fillId="18" borderId="1" xfId="0" applyFont="1" applyFill="1" applyBorder="1" applyAlignment="1">
      <alignment horizontal="center" vertical="center" wrapText="1"/>
    </xf>
    <xf numFmtId="0" fontId="7" fillId="18" borderId="1" xfId="0" applyFont="1" applyFill="1" applyBorder="1" applyAlignment="1">
      <alignment horizontal="left" vertical="top" wrapText="1"/>
    </xf>
    <xf numFmtId="0" fontId="7" fillId="18" borderId="1" xfId="0" applyFont="1" applyFill="1" applyBorder="1" applyAlignment="1">
      <alignment horizontal="center" vertical="center" wrapText="1"/>
    </xf>
    <xf numFmtId="0" fontId="10" fillId="18" borderId="1"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7" fillId="19" borderId="1" xfId="0" applyFont="1" applyFill="1" applyBorder="1" applyAlignment="1">
      <alignment horizontal="left" vertical="top" wrapText="1"/>
    </xf>
    <xf numFmtId="0" fontId="7" fillId="19" borderId="1" xfId="0" applyFont="1" applyFill="1" applyBorder="1" applyAlignment="1">
      <alignment horizontal="center" vertical="center" wrapText="1"/>
    </xf>
    <xf numFmtId="0" fontId="10" fillId="19" borderId="1" xfId="0" applyFont="1" applyFill="1" applyBorder="1" applyAlignment="1">
      <alignment horizontal="center" vertical="center" wrapText="1"/>
    </xf>
    <xf numFmtId="0" fontId="9" fillId="20" borderId="1" xfId="0" applyFont="1" applyFill="1" applyBorder="1" applyAlignment="1">
      <alignment horizontal="center" vertical="center" wrapText="1"/>
    </xf>
    <xf numFmtId="0" fontId="7" fillId="20" borderId="1" xfId="0" applyFont="1" applyFill="1" applyBorder="1" applyAlignment="1">
      <alignment horizontal="left" vertical="top" wrapText="1"/>
    </xf>
    <xf numFmtId="0" fontId="7" fillId="20" borderId="1" xfId="0" applyFont="1" applyFill="1" applyBorder="1" applyAlignment="1">
      <alignment horizontal="center" vertical="center" wrapText="1"/>
    </xf>
    <xf numFmtId="0" fontId="10" fillId="20" borderId="1" xfId="0" applyFont="1" applyFill="1" applyBorder="1" applyAlignment="1">
      <alignment horizontal="center" vertical="center" wrapText="1"/>
    </xf>
    <xf numFmtId="0" fontId="11" fillId="20" borderId="1" xfId="0" applyFont="1" applyFill="1" applyBorder="1" applyAlignment="1">
      <alignment horizontal="center" vertical="center" wrapText="1"/>
    </xf>
    <xf numFmtId="0" fontId="9" fillId="21" borderId="1" xfId="0" applyFont="1" applyFill="1" applyBorder="1" applyAlignment="1">
      <alignment horizontal="center" vertical="center" wrapText="1"/>
    </xf>
    <xf numFmtId="0" fontId="7" fillId="21" borderId="1" xfId="0" applyFont="1" applyFill="1" applyBorder="1" applyAlignment="1">
      <alignment horizontal="left" vertical="top" wrapText="1"/>
    </xf>
    <xf numFmtId="0" fontId="7" fillId="21" borderId="1" xfId="0" applyFont="1" applyFill="1" applyBorder="1" applyAlignment="1">
      <alignment horizontal="center" vertical="center" wrapText="1"/>
    </xf>
    <xf numFmtId="0" fontId="11" fillId="21" borderId="1" xfId="0" applyFont="1" applyFill="1" applyBorder="1" applyAlignment="1">
      <alignment horizontal="center" vertical="center" wrapText="1"/>
    </xf>
    <xf numFmtId="0" fontId="9" fillId="22" borderId="1" xfId="0" applyFont="1" applyFill="1" applyBorder="1" applyAlignment="1">
      <alignment horizontal="center" vertical="center" wrapText="1"/>
    </xf>
    <xf numFmtId="0" fontId="7" fillId="22" borderId="1" xfId="0" applyFont="1" applyFill="1" applyBorder="1" applyAlignment="1">
      <alignment horizontal="left" vertical="top" wrapText="1"/>
    </xf>
    <xf numFmtId="0" fontId="7" fillId="22" borderId="1" xfId="0" applyFont="1" applyFill="1" applyBorder="1" applyAlignment="1">
      <alignment horizontal="center" vertical="center" wrapText="1"/>
    </xf>
    <xf numFmtId="0" fontId="10" fillId="22" borderId="1" xfId="0" applyFont="1" applyFill="1" applyBorder="1" applyAlignment="1">
      <alignment horizontal="center" vertical="center" wrapText="1"/>
    </xf>
    <xf numFmtId="0" fontId="3" fillId="11" borderId="0" xfId="0" applyFont="1" applyFill="1" applyAlignment="1">
      <alignment horizontal="center" vertical="center" wrapText="1"/>
    </xf>
    <xf numFmtId="2" fontId="14" fillId="14" borderId="1" xfId="0" applyNumberFormat="1"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 fillId="9" borderId="0" xfId="0" applyFont="1" applyFill="1" applyAlignment="1">
      <alignment horizontal="center" vertical="center" wrapText="1"/>
    </xf>
    <xf numFmtId="0" fontId="7" fillId="0" borderId="1" xfId="0" applyFont="1" applyBorder="1" applyAlignment="1">
      <alignment horizontal="left" vertical="center" wrapText="1"/>
    </xf>
    <xf numFmtId="0" fontId="17" fillId="10" borderId="1" xfId="0" applyFont="1" applyFill="1" applyBorder="1" applyAlignment="1">
      <alignment horizontal="left" vertical="top" wrapText="1"/>
    </xf>
    <xf numFmtId="0" fontId="7" fillId="10" borderId="1" xfId="0" applyFont="1" applyFill="1" applyBorder="1" applyAlignment="1">
      <alignment horizontal="left" vertical="top" wrapText="1"/>
    </xf>
    <xf numFmtId="0" fontId="17" fillId="11"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13" fillId="14" borderId="1" xfId="0" applyFont="1" applyFill="1" applyBorder="1" applyAlignment="1">
      <alignment horizontal="center" vertical="center" wrapText="1"/>
    </xf>
    <xf numFmtId="0" fontId="13" fillId="0" borderId="0" xfId="0" applyFont="1" applyAlignment="1">
      <alignment horizontal="center" vertical="center" wrapText="1"/>
    </xf>
    <xf numFmtId="0" fontId="7" fillId="14" borderId="1" xfId="0" applyFont="1" applyFill="1" applyBorder="1" applyAlignment="1">
      <alignment horizontal="left" vertical="top" wrapText="1"/>
    </xf>
    <xf numFmtId="0" fontId="4" fillId="12" borderId="1" xfId="0" applyFont="1" applyFill="1" applyBorder="1" applyAlignment="1" applyProtection="1">
      <alignment horizontal="left" vertical="center" wrapText="1"/>
      <protection locked="0"/>
    </xf>
    <xf numFmtId="0" fontId="7" fillId="12" borderId="1" xfId="0" applyFont="1" applyFill="1" applyBorder="1" applyAlignment="1" applyProtection="1">
      <alignment horizontal="left" vertical="top" wrapText="1"/>
      <protection locked="0"/>
    </xf>
    <xf numFmtId="0" fontId="1" fillId="0" borderId="0" xfId="0" applyFont="1"/>
    <xf numFmtId="0" fontId="0" fillId="0" borderId="0" xfId="0"/>
    <xf numFmtId="0" fontId="5" fillId="9" borderId="0" xfId="0" applyFont="1" applyFill="1"/>
    <xf numFmtId="0" fontId="7" fillId="11" borderId="1" xfId="0" applyFont="1" applyFill="1" applyBorder="1" applyAlignment="1">
      <alignment vertical="top" wrapText="1"/>
    </xf>
    <xf numFmtId="0" fontId="0" fillId="0" borderId="4" xfId="0" applyBorder="1"/>
    <xf numFmtId="0" fontId="0" fillId="0" borderId="5" xfId="0" applyBorder="1"/>
    <xf numFmtId="0" fontId="3" fillId="0" borderId="0" xfId="0" applyFont="1"/>
    <xf numFmtId="0" fontId="7" fillId="8"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7" fillId="7" borderId="1" xfId="0" applyFont="1" applyFill="1" applyBorder="1" applyAlignment="1">
      <alignment vertical="top" wrapText="1"/>
    </xf>
    <xf numFmtId="0" fontId="7" fillId="6" borderId="1" xfId="0" applyFont="1" applyFill="1" applyBorder="1" applyAlignment="1">
      <alignment horizontal="left" vertical="center" wrapText="1"/>
    </xf>
    <xf numFmtId="0" fontId="4" fillId="0" borderId="0" xfId="0" applyFont="1" applyAlignment="1">
      <alignment vertical="top" wrapText="1"/>
    </xf>
    <xf numFmtId="0" fontId="4" fillId="0" borderId="0" xfId="0" applyFont="1" applyAlignment="1">
      <alignment horizontal="left" vertical="top" wrapText="1"/>
    </xf>
    <xf numFmtId="0" fontId="7" fillId="3" borderId="1" xfId="0" applyFont="1" applyFill="1" applyBorder="1" applyAlignment="1">
      <alignment vertical="top" wrapText="1"/>
    </xf>
    <xf numFmtId="0" fontId="18" fillId="0" borderId="0" xfId="0" applyFont="1" applyAlignment="1">
      <alignment vertical="center" wrapText="1"/>
    </xf>
    <xf numFmtId="0" fontId="5" fillId="2" borderId="0" xfId="0" applyFont="1" applyFill="1" applyAlignment="1">
      <alignment horizontal="left" vertical="center" wrapText="1"/>
    </xf>
    <xf numFmtId="0" fontId="7" fillId="5"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11" borderId="1" xfId="0" applyFont="1" applyFill="1" applyBorder="1" applyAlignment="1">
      <alignment horizontal="left" vertical="center" wrapText="1"/>
    </xf>
    <xf numFmtId="0" fontId="2" fillId="0" borderId="0" xfId="0" applyFont="1" applyAlignment="1">
      <alignment vertical="top" wrapText="1"/>
    </xf>
    <xf numFmtId="0" fontId="4"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0" xfId="0" applyFont="1"/>
    <xf numFmtId="0" fontId="4" fillId="12" borderId="1" xfId="0" applyFont="1" applyFill="1" applyBorder="1" applyAlignment="1" applyProtection="1">
      <alignment horizontal="left" vertical="top" wrapText="1"/>
      <protection locked="0"/>
    </xf>
    <xf numFmtId="0" fontId="0" fillId="0" borderId="2" xfId="0" applyBorder="1" applyProtection="1">
      <protection locked="0"/>
    </xf>
    <xf numFmtId="0" fontId="0" fillId="0" borderId="3"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10" xfId="0" applyBorder="1" applyProtection="1">
      <protection locked="0"/>
    </xf>
    <xf numFmtId="0" fontId="5" fillId="9" borderId="0" xfId="0" applyFont="1" applyFill="1" applyAlignment="1">
      <alignment horizontal="left" vertical="center" wrapText="1"/>
    </xf>
    <xf numFmtId="0" fontId="8"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2" fillId="12" borderId="1" xfId="0" applyFont="1" applyFill="1" applyBorder="1" applyAlignment="1" applyProtection="1">
      <alignment horizontal="left" vertical="top" wrapText="1"/>
      <protection locked="0"/>
    </xf>
    <xf numFmtId="0" fontId="0" fillId="0" borderId="6" xfId="0" applyBorder="1" applyProtection="1">
      <protection locked="0"/>
    </xf>
    <xf numFmtId="0" fontId="0" fillId="0" borderId="0" xfId="0" applyProtection="1">
      <protection locked="0"/>
    </xf>
    <xf numFmtId="0" fontId="0" fillId="0" borderId="7" xfId="0" applyBorder="1" applyProtection="1">
      <protection locked="0"/>
    </xf>
    <xf numFmtId="0" fontId="7" fillId="0" borderId="1" xfId="0" applyFont="1" applyBorder="1" applyAlignment="1">
      <alignment horizontal="left" vertical="center" wrapText="1"/>
    </xf>
    <xf numFmtId="0" fontId="15" fillId="11" borderId="1" xfId="0" applyFont="1" applyFill="1" applyBorder="1" applyAlignment="1">
      <alignment horizontal="left" vertical="center" wrapText="1"/>
    </xf>
    <xf numFmtId="0" fontId="0" fillId="0" borderId="3" xfId="0" applyBorder="1"/>
    <xf numFmtId="0" fontId="0" fillId="0" borderId="8" xfId="0" applyBorder="1"/>
    <xf numFmtId="0" fontId="0" fillId="0" borderId="10" xfId="0" applyBorder="1"/>
    <xf numFmtId="0" fontId="4" fillId="11" borderId="1" xfId="0" applyFont="1" applyFill="1" applyBorder="1" applyAlignment="1">
      <alignment horizontal="center" vertical="center" wrapText="1"/>
    </xf>
    <xf numFmtId="0" fontId="5" fillId="9" borderId="0" xfId="0" applyFont="1" applyFill="1" applyAlignment="1">
      <alignment horizontal="center" vertical="center" wrapText="1"/>
    </xf>
    <xf numFmtId="0" fontId="16" fillId="11" borderId="1" xfId="0" applyFont="1" applyFill="1" applyBorder="1" applyAlignment="1">
      <alignment horizontal="center" vertical="center"/>
    </xf>
    <xf numFmtId="0" fontId="0" fillId="0" borderId="11" xfId="0" applyBorder="1"/>
    <xf numFmtId="0" fontId="5" fillId="2" borderId="0" xfId="0" applyFont="1" applyFill="1" applyAlignment="1">
      <alignment horizontal="center" vertical="center" wrapText="1"/>
    </xf>
    <xf numFmtId="0" fontId="3" fillId="0" borderId="0" xfId="0" applyFont="1" applyAlignment="1">
      <alignment vertical="top" wrapText="1"/>
    </xf>
  </cellXfs>
  <cellStyles count="1">
    <cellStyle name="Normal" xfId="0" builtinId="0"/>
  </cellStyles>
  <dxfs count="17">
    <dxf>
      <fill>
        <patternFill patternType="solid">
          <fgColor rgb="FFFDE68A"/>
        </patternFill>
      </fill>
    </dxf>
    <dxf>
      <fill>
        <patternFill patternType="solid">
          <fgColor rgb="FFFECACA"/>
        </patternFill>
      </fill>
    </dxf>
    <dxf>
      <font>
        <b/>
        <sz val="16"/>
        <color rgb="FF374151"/>
        <name val="Calibri"/>
      </font>
      <fill>
        <patternFill patternType="solid">
          <fgColor rgb="FFE5E7EB"/>
        </patternFill>
      </fill>
    </dxf>
    <dxf>
      <font>
        <b/>
        <sz val="16"/>
        <color rgb="FF7F1D1D"/>
        <name val="Calibri"/>
      </font>
      <fill>
        <patternFill patternType="solid">
          <fgColor rgb="FFFECACA"/>
        </patternFill>
      </fill>
    </dxf>
    <dxf>
      <font>
        <b/>
        <sz val="16"/>
        <color rgb="FF78350F"/>
        <name val="Calibri"/>
      </font>
      <fill>
        <patternFill patternType="solid">
          <fgColor rgb="FFFDE68A"/>
        </patternFill>
      </fill>
    </dxf>
    <dxf>
      <font>
        <b/>
        <sz val="16"/>
        <color rgb="FF1B4332"/>
        <name val="Calibri"/>
      </font>
      <fill>
        <patternFill patternType="solid">
          <fgColor rgb="FFD8F3DC"/>
        </patternFill>
      </fill>
    </dxf>
    <dxf>
      <fill>
        <patternFill patternType="solid">
          <fgColor rgb="FFFECACA"/>
        </patternFill>
      </fill>
    </dxf>
    <dxf>
      <fill>
        <patternFill patternType="solid">
          <fgColor rgb="FFFDE68A"/>
        </patternFill>
      </fill>
    </dxf>
    <dxf>
      <fill>
        <patternFill patternType="solid">
          <fgColor rgb="FFD8F3DC"/>
        </patternFill>
      </fill>
    </dxf>
    <dxf>
      <fill>
        <patternFill patternType="solid">
          <fgColor rgb="FFFDE68A"/>
        </patternFill>
      </fill>
    </dxf>
    <dxf>
      <font>
        <b/>
        <sz val="10"/>
        <color rgb="FF6B21A8"/>
        <name val="Calibri"/>
      </font>
      <fill>
        <patternFill patternType="solid">
          <fgColor rgb="FFE9D5FF"/>
        </patternFill>
      </fill>
    </dxf>
    <dxf>
      <font>
        <b/>
        <sz val="10"/>
        <color rgb="FF312E81"/>
        <name val="Calibri"/>
      </font>
      <fill>
        <patternFill patternType="solid">
          <fgColor rgb="FFE0E7FF"/>
        </patternFill>
      </fill>
    </dxf>
    <dxf>
      <font>
        <b/>
        <sz val="10"/>
        <color rgb="FF374151"/>
        <name val="Calibri"/>
      </font>
      <fill>
        <patternFill patternType="solid">
          <fgColor rgb="FFE5E7EB"/>
        </patternFill>
      </fill>
    </dxf>
    <dxf>
      <font>
        <b/>
        <sz val="12"/>
        <color rgb="FF7F1D1D"/>
        <name val="Calibri"/>
      </font>
      <fill>
        <patternFill patternType="solid">
          <fgColor rgb="FFFECACA"/>
        </patternFill>
      </fill>
    </dxf>
    <dxf>
      <font>
        <b/>
        <sz val="12"/>
        <color rgb="FF78350F"/>
        <name val="Calibri"/>
      </font>
      <fill>
        <patternFill patternType="solid">
          <fgColor rgb="FFFDE68A"/>
        </patternFill>
      </fill>
    </dxf>
    <dxf>
      <font>
        <b/>
        <sz val="12"/>
        <color rgb="FF1B4332"/>
        <name val="Calibri"/>
      </font>
      <fill>
        <patternFill patternType="solid">
          <fgColor rgb="FFD8F3DC"/>
        </patternFill>
      </fill>
    </dxf>
    <dxf>
      <font>
        <b/>
        <sz val="12"/>
        <color rgb="FF1B4332"/>
        <name val="Calibri"/>
      </font>
      <fill>
        <patternFill patternType="solid">
          <fgColor rgb="FFB7E4C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3A4B"/>
    <pageSetUpPr fitToPage="1"/>
  </sheetPr>
  <dimension ref="B2:G40"/>
  <sheetViews>
    <sheetView showGridLines="0" tabSelected="1" zoomScale="110" workbookViewId="0">
      <pane xSplit="1" ySplit="4" topLeftCell="B5" activePane="bottomRight" state="frozen"/>
      <selection pane="topRight"/>
      <selection pane="bottomLeft"/>
      <selection pane="bottomRight"/>
    </sheetView>
  </sheetViews>
  <sheetFormatPr defaultRowHeight="14.5" x14ac:dyDescent="0.35"/>
  <cols>
    <col min="1" max="1" width="3" customWidth="1"/>
    <col min="2" max="2" width="42" customWidth="1"/>
    <col min="3" max="3" width="28" customWidth="1"/>
    <col min="4" max="7" width="24" customWidth="1"/>
  </cols>
  <sheetData>
    <row r="2" spans="2:7" ht="26" customHeight="1" x14ac:dyDescent="0.6">
      <c r="B2" s="78" t="s">
        <v>0</v>
      </c>
      <c r="C2" s="79"/>
      <c r="D2" s="79"/>
      <c r="E2" s="79"/>
      <c r="F2" s="79"/>
      <c r="G2" s="79"/>
    </row>
    <row r="3" spans="2:7" ht="36" customHeight="1" x14ac:dyDescent="0.35">
      <c r="B3" s="97" t="s">
        <v>1</v>
      </c>
      <c r="C3" s="79"/>
      <c r="D3" s="79"/>
      <c r="E3" s="79"/>
      <c r="F3" s="79"/>
      <c r="G3" s="79"/>
    </row>
    <row r="5" spans="2:7" ht="18.5" x14ac:dyDescent="0.45">
      <c r="B5" s="84" t="s">
        <v>2</v>
      </c>
      <c r="C5" s="79"/>
      <c r="D5" s="79"/>
      <c r="E5" s="79"/>
      <c r="F5" s="79"/>
      <c r="G5" s="79"/>
    </row>
    <row r="6" spans="2:7" ht="36" customHeight="1" x14ac:dyDescent="0.35">
      <c r="B6" s="90" t="s">
        <v>3</v>
      </c>
      <c r="C6" s="79"/>
      <c r="D6" s="79"/>
      <c r="E6" s="79"/>
      <c r="F6" s="79"/>
      <c r="G6" s="79"/>
    </row>
    <row r="7" spans="2:7" ht="36" customHeight="1" x14ac:dyDescent="0.35">
      <c r="B7" s="79"/>
      <c r="C7" s="79"/>
      <c r="D7" s="79"/>
      <c r="E7" s="79"/>
      <c r="F7" s="79"/>
      <c r="G7" s="79"/>
    </row>
    <row r="8" spans="2:7" ht="72" customHeight="1" x14ac:dyDescent="0.35">
      <c r="B8" s="79"/>
      <c r="C8" s="79"/>
      <c r="D8" s="79"/>
      <c r="E8" s="79"/>
      <c r="F8" s="79"/>
      <c r="G8" s="79"/>
    </row>
    <row r="10" spans="2:7" ht="18.5" x14ac:dyDescent="0.45">
      <c r="B10" s="84" t="s">
        <v>4</v>
      </c>
      <c r="C10" s="79"/>
      <c r="D10" s="79"/>
      <c r="E10" s="79"/>
      <c r="F10" s="79"/>
      <c r="G10" s="79"/>
    </row>
    <row r="11" spans="2:7" ht="36" customHeight="1" x14ac:dyDescent="0.35">
      <c r="B11" s="89" t="s">
        <v>5</v>
      </c>
      <c r="C11" s="79"/>
      <c r="D11" s="79"/>
      <c r="E11" s="79"/>
      <c r="F11" s="79"/>
      <c r="G11" s="79"/>
    </row>
    <row r="12" spans="2:7" ht="78" customHeight="1" x14ac:dyDescent="0.35">
      <c r="B12" s="79"/>
      <c r="C12" s="79"/>
      <c r="D12" s="79"/>
      <c r="E12" s="79"/>
      <c r="F12" s="79"/>
      <c r="G12" s="79"/>
    </row>
    <row r="14" spans="2:7" ht="18.5" x14ac:dyDescent="0.45">
      <c r="B14" s="84" t="s">
        <v>6</v>
      </c>
      <c r="C14" s="79"/>
      <c r="D14" s="79"/>
      <c r="E14" s="79"/>
      <c r="F14" s="79"/>
      <c r="G14" s="79"/>
    </row>
    <row r="15" spans="2:7" ht="20" customHeight="1" x14ac:dyDescent="0.35">
      <c r="B15" s="98" t="s">
        <v>7</v>
      </c>
      <c r="C15" s="79"/>
      <c r="D15" s="79"/>
      <c r="E15" s="79"/>
      <c r="F15" s="79"/>
      <c r="G15" s="79"/>
    </row>
    <row r="16" spans="2:7" ht="32" customHeight="1" x14ac:dyDescent="0.35">
      <c r="B16" s="79"/>
      <c r="C16" s="79"/>
      <c r="D16" s="79"/>
      <c r="E16" s="79"/>
      <c r="F16" s="79"/>
      <c r="G16" s="79"/>
    </row>
    <row r="18" spans="2:7" ht="18.5" x14ac:dyDescent="0.45">
      <c r="B18" s="84" t="s">
        <v>8</v>
      </c>
      <c r="C18" s="79"/>
      <c r="D18" s="79"/>
      <c r="E18" s="79"/>
      <c r="F18" s="79"/>
      <c r="G18" s="79"/>
    </row>
    <row r="19" spans="2:7" x14ac:dyDescent="0.35">
      <c r="B19" s="2" t="s">
        <v>9</v>
      </c>
      <c r="C19" s="3" t="s">
        <v>10</v>
      </c>
      <c r="D19" s="93" t="s">
        <v>11</v>
      </c>
      <c r="E19" s="79"/>
      <c r="F19" s="79"/>
      <c r="G19" s="79"/>
    </row>
    <row r="20" spans="2:7" ht="30" customHeight="1" x14ac:dyDescent="0.35">
      <c r="B20" s="4" t="s">
        <v>12</v>
      </c>
      <c r="C20" s="5" t="s">
        <v>13</v>
      </c>
      <c r="D20" s="91" t="s">
        <v>14</v>
      </c>
      <c r="E20" s="82"/>
      <c r="F20" s="82"/>
      <c r="G20" s="83"/>
    </row>
    <row r="21" spans="2:7" ht="30" customHeight="1" x14ac:dyDescent="0.35">
      <c r="B21" s="6" t="s">
        <v>15</v>
      </c>
      <c r="C21" s="7" t="s">
        <v>16</v>
      </c>
      <c r="D21" s="95" t="s">
        <v>17</v>
      </c>
      <c r="E21" s="82"/>
      <c r="F21" s="82"/>
      <c r="G21" s="83"/>
    </row>
    <row r="22" spans="2:7" ht="30" customHeight="1" x14ac:dyDescent="0.35">
      <c r="B22" s="8" t="s">
        <v>18</v>
      </c>
      <c r="C22" s="9" t="s">
        <v>19</v>
      </c>
      <c r="D22" s="94" t="s">
        <v>20</v>
      </c>
      <c r="E22" s="82"/>
      <c r="F22" s="82"/>
      <c r="G22" s="83"/>
    </row>
    <row r="23" spans="2:7" ht="30" customHeight="1" x14ac:dyDescent="0.35">
      <c r="B23" s="10" t="s">
        <v>21</v>
      </c>
      <c r="C23" s="11" t="s">
        <v>22</v>
      </c>
      <c r="D23" s="88" t="s">
        <v>23</v>
      </c>
      <c r="E23" s="82"/>
      <c r="F23" s="82"/>
      <c r="G23" s="83"/>
    </row>
    <row r="24" spans="2:7" ht="36" customHeight="1" x14ac:dyDescent="0.35">
      <c r="B24" s="12" t="s">
        <v>24</v>
      </c>
      <c r="C24" s="13" t="s">
        <v>25</v>
      </c>
      <c r="D24" s="87" t="s">
        <v>26</v>
      </c>
      <c r="E24" s="82"/>
      <c r="F24" s="82"/>
      <c r="G24" s="83"/>
    </row>
    <row r="25" spans="2:7" ht="30" customHeight="1" x14ac:dyDescent="0.35">
      <c r="B25" s="14" t="s">
        <v>27</v>
      </c>
      <c r="C25" s="15" t="s">
        <v>27</v>
      </c>
      <c r="D25" s="85" t="s">
        <v>28</v>
      </c>
      <c r="E25" s="82"/>
      <c r="F25" s="82"/>
      <c r="G25" s="83"/>
    </row>
    <row r="27" spans="2:7" ht="18.5" x14ac:dyDescent="0.45">
      <c r="B27" s="84" t="s">
        <v>29</v>
      </c>
      <c r="C27" s="79"/>
      <c r="D27" s="79"/>
      <c r="E27" s="79"/>
      <c r="F27" s="79"/>
      <c r="G27" s="79"/>
    </row>
    <row r="28" spans="2:7" ht="96" customHeight="1" x14ac:dyDescent="0.35">
      <c r="B28" s="89" t="s">
        <v>30</v>
      </c>
      <c r="C28" s="79"/>
      <c r="D28" s="79"/>
      <c r="E28" s="79"/>
      <c r="F28" s="79"/>
      <c r="G28" s="79"/>
    </row>
    <row r="30" spans="2:7" x14ac:dyDescent="0.35">
      <c r="B30" s="16" t="s">
        <v>31</v>
      </c>
      <c r="C30" s="80" t="s">
        <v>32</v>
      </c>
      <c r="D30" s="79"/>
      <c r="E30" s="79"/>
      <c r="F30" s="79"/>
      <c r="G30" s="79"/>
    </row>
    <row r="31" spans="2:7" ht="28" customHeight="1" x14ac:dyDescent="0.35">
      <c r="B31" s="17" t="s">
        <v>33</v>
      </c>
      <c r="C31" s="86" t="s">
        <v>34</v>
      </c>
      <c r="D31" s="82"/>
      <c r="E31" s="82"/>
      <c r="F31" s="82"/>
      <c r="G31" s="83"/>
    </row>
    <row r="32" spans="2:7" ht="28" customHeight="1" x14ac:dyDescent="0.35">
      <c r="B32" s="18" t="s">
        <v>35</v>
      </c>
      <c r="C32" s="96" t="s">
        <v>36</v>
      </c>
      <c r="D32" s="82"/>
      <c r="E32" s="82"/>
      <c r="F32" s="82"/>
      <c r="G32" s="83"/>
    </row>
    <row r="33" spans="2:7" ht="28" customHeight="1" x14ac:dyDescent="0.35">
      <c r="B33" s="17" t="s">
        <v>37</v>
      </c>
      <c r="C33" s="86" t="s">
        <v>38</v>
      </c>
      <c r="D33" s="82"/>
      <c r="E33" s="82"/>
      <c r="F33" s="82"/>
      <c r="G33" s="83"/>
    </row>
    <row r="34" spans="2:7" ht="36" customHeight="1" x14ac:dyDescent="0.35">
      <c r="B34" s="18" t="s">
        <v>39</v>
      </c>
      <c r="C34" s="81" t="s">
        <v>40</v>
      </c>
      <c r="D34" s="82"/>
      <c r="E34" s="82"/>
      <c r="F34" s="82"/>
      <c r="G34" s="83"/>
    </row>
    <row r="35" spans="2:7" ht="28" customHeight="1" x14ac:dyDescent="0.35">
      <c r="B35" s="17" t="s">
        <v>41</v>
      </c>
      <c r="C35" s="86" t="s">
        <v>42</v>
      </c>
      <c r="D35" s="82"/>
      <c r="E35" s="82"/>
      <c r="F35" s="82"/>
      <c r="G35" s="83"/>
    </row>
    <row r="36" spans="2:7" ht="28" customHeight="1" x14ac:dyDescent="0.35">
      <c r="B36" s="18" t="s">
        <v>43</v>
      </c>
      <c r="C36" s="96" t="s">
        <v>44</v>
      </c>
      <c r="D36" s="82"/>
      <c r="E36" s="82"/>
      <c r="F36" s="82"/>
      <c r="G36" s="83"/>
    </row>
    <row r="37" spans="2:7" ht="28" customHeight="1" x14ac:dyDescent="0.35">
      <c r="B37" s="17" t="s">
        <v>45</v>
      </c>
      <c r="C37" s="86" t="s">
        <v>46</v>
      </c>
      <c r="D37" s="82"/>
      <c r="E37" s="82"/>
      <c r="F37" s="82"/>
      <c r="G37" s="83"/>
    </row>
    <row r="39" spans="2:7" ht="48" customHeight="1" x14ac:dyDescent="0.35">
      <c r="B39" s="97" t="s">
        <v>47</v>
      </c>
      <c r="C39" s="79"/>
      <c r="D39" s="79"/>
      <c r="E39" s="79"/>
      <c r="F39" s="79"/>
      <c r="G39" s="79"/>
    </row>
    <row r="40" spans="2:7" ht="48" customHeight="1" x14ac:dyDescent="0.35">
      <c r="B40" s="92" t="s">
        <v>48</v>
      </c>
      <c r="C40" s="79"/>
      <c r="D40" s="79"/>
      <c r="E40" s="79"/>
      <c r="F40" s="79"/>
      <c r="G40" s="79"/>
    </row>
  </sheetData>
  <sheetProtection sheet="1" insertColumns="0" insertRows="0" deleteColumns="0" deleteRows="0" selectLockedCells="1" selectUnlockedCells="1"/>
  <mergeCells count="28">
    <mergeCell ref="B40:G40"/>
    <mergeCell ref="D19:G19"/>
    <mergeCell ref="C31:G31"/>
    <mergeCell ref="D22:G22"/>
    <mergeCell ref="B11:G12"/>
    <mergeCell ref="D21:G21"/>
    <mergeCell ref="C36:G36"/>
    <mergeCell ref="C32:G32"/>
    <mergeCell ref="B15:G16"/>
    <mergeCell ref="B27:G27"/>
    <mergeCell ref="C37:G37"/>
    <mergeCell ref="B18:G18"/>
    <mergeCell ref="B39:G39"/>
    <mergeCell ref="C35:G35"/>
    <mergeCell ref="B10:G10"/>
    <mergeCell ref="B28:G28"/>
    <mergeCell ref="B6:G8"/>
    <mergeCell ref="D20:G20"/>
    <mergeCell ref="B2:G2"/>
    <mergeCell ref="C30:G30"/>
    <mergeCell ref="C34:G34"/>
    <mergeCell ref="B14:G14"/>
    <mergeCell ref="D25:G25"/>
    <mergeCell ref="C33:G33"/>
    <mergeCell ref="D24:G24"/>
    <mergeCell ref="D23:G23"/>
    <mergeCell ref="B5:G5"/>
    <mergeCell ref="B3:G3"/>
  </mergeCells>
  <printOptions horizontalCentered="1"/>
  <pageMargins left="0.5" right="0.5" top="0.55000000000000004" bottom="0.5" header="0.25" footer="0.25"/>
  <pageSetup paperSize="9" fitToHeight="3" orientation="landscape"/>
  <headerFooter>
    <oddHeader>&amp;R&amp;"Calibri"&amp;9 Majid Mumtaz, CIA, ACA, FCCA</oddHeader>
    <oddFooter>&amp;LBased on the Global Internal Audit Standards (2024). Not an IIA publication.&amp;RPage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6F6A"/>
    <pageSetUpPr fitToPage="1"/>
  </sheetPr>
  <dimension ref="B2:E25"/>
  <sheetViews>
    <sheetView showGridLines="0" zoomScale="110" workbookViewId="0">
      <pane xSplit="1" ySplit="4" topLeftCell="B5" activePane="bottomRight" state="frozen"/>
      <selection pane="topRight"/>
      <selection pane="bottomLeft"/>
      <selection pane="bottomRight"/>
    </sheetView>
  </sheetViews>
  <sheetFormatPr defaultRowHeight="14.5" x14ac:dyDescent="0.35"/>
  <cols>
    <col min="1" max="1" width="3" customWidth="1"/>
    <col min="2" max="2" width="32" customWidth="1"/>
    <col min="3" max="3" width="62" customWidth="1"/>
    <col min="4" max="4" width="42" customWidth="1"/>
    <col min="5" max="5" width="28" customWidth="1"/>
  </cols>
  <sheetData>
    <row r="2" spans="2:5" ht="28" customHeight="1" x14ac:dyDescent="0.6">
      <c r="B2" s="78" t="s">
        <v>49</v>
      </c>
      <c r="C2" s="79"/>
      <c r="D2" s="79"/>
      <c r="E2" s="79"/>
    </row>
    <row r="3" spans="2:5" x14ac:dyDescent="0.35">
      <c r="B3" s="100" t="s">
        <v>50</v>
      </c>
      <c r="C3" s="79"/>
      <c r="D3" s="79"/>
      <c r="E3" s="79"/>
    </row>
    <row r="4" spans="2:5" x14ac:dyDescent="0.35">
      <c r="B4" s="19" t="s">
        <v>51</v>
      </c>
      <c r="C4" s="19" t="s">
        <v>52</v>
      </c>
      <c r="D4" s="107" t="s">
        <v>53</v>
      </c>
      <c r="E4" s="79"/>
    </row>
    <row r="5" spans="2:5" ht="22" customHeight="1" x14ac:dyDescent="0.35">
      <c r="B5" s="18" t="s">
        <v>54</v>
      </c>
      <c r="C5" s="76"/>
      <c r="D5" s="99" t="s">
        <v>55</v>
      </c>
      <c r="E5" s="83"/>
    </row>
    <row r="6" spans="2:5" ht="22" customHeight="1" x14ac:dyDescent="0.35">
      <c r="B6" s="18" t="s">
        <v>56</v>
      </c>
      <c r="C6" s="76"/>
      <c r="D6" s="99" t="s">
        <v>57</v>
      </c>
      <c r="E6" s="83"/>
    </row>
    <row r="7" spans="2:5" ht="22" customHeight="1" x14ac:dyDescent="0.35">
      <c r="B7" s="18" t="s">
        <v>58</v>
      </c>
      <c r="C7" s="76"/>
      <c r="D7" s="99" t="s">
        <v>59</v>
      </c>
      <c r="E7" s="83"/>
    </row>
    <row r="8" spans="2:5" ht="22" customHeight="1" x14ac:dyDescent="0.35">
      <c r="B8" s="18" t="s">
        <v>60</v>
      </c>
      <c r="C8" s="76"/>
      <c r="D8" s="99" t="s">
        <v>61</v>
      </c>
      <c r="E8" s="83"/>
    </row>
    <row r="9" spans="2:5" ht="22" customHeight="1" x14ac:dyDescent="0.35">
      <c r="B9" s="18" t="s">
        <v>62</v>
      </c>
      <c r="C9" s="76"/>
      <c r="D9" s="99" t="s">
        <v>63</v>
      </c>
      <c r="E9" s="83"/>
    </row>
    <row r="10" spans="2:5" ht="22" customHeight="1" x14ac:dyDescent="0.35">
      <c r="B10" s="18" t="s">
        <v>64</v>
      </c>
      <c r="C10" s="76"/>
      <c r="D10" s="99" t="s">
        <v>65</v>
      </c>
      <c r="E10" s="83"/>
    </row>
    <row r="11" spans="2:5" ht="22" customHeight="1" x14ac:dyDescent="0.35">
      <c r="B11" s="18" t="s">
        <v>66</v>
      </c>
      <c r="C11" s="76"/>
      <c r="D11" s="99" t="s">
        <v>67</v>
      </c>
      <c r="E11" s="83"/>
    </row>
    <row r="12" spans="2:5" ht="22" customHeight="1" x14ac:dyDescent="0.35">
      <c r="B12" s="18" t="s">
        <v>68</v>
      </c>
      <c r="C12" s="76"/>
      <c r="D12" s="99" t="s">
        <v>69</v>
      </c>
      <c r="E12" s="83"/>
    </row>
    <row r="13" spans="2:5" ht="22" customHeight="1" x14ac:dyDescent="0.35">
      <c r="B13" s="18" t="s">
        <v>70</v>
      </c>
      <c r="C13" s="76"/>
      <c r="D13" s="99" t="s">
        <v>71</v>
      </c>
      <c r="E13" s="83"/>
    </row>
    <row r="14" spans="2:5" ht="22" customHeight="1" x14ac:dyDescent="0.35">
      <c r="B14" s="18" t="s">
        <v>72</v>
      </c>
      <c r="C14" s="76"/>
      <c r="D14" s="99" t="s">
        <v>73</v>
      </c>
      <c r="E14" s="83"/>
    </row>
    <row r="15" spans="2:5" ht="22" customHeight="1" x14ac:dyDescent="0.35">
      <c r="B15" s="18" t="s">
        <v>74</v>
      </c>
      <c r="C15" s="76"/>
      <c r="D15" s="99" t="s">
        <v>75</v>
      </c>
      <c r="E15" s="83"/>
    </row>
    <row r="16" spans="2:5" ht="22" customHeight="1" x14ac:dyDescent="0.35">
      <c r="B16" s="18" t="s">
        <v>76</v>
      </c>
      <c r="C16" s="76"/>
      <c r="D16" s="99" t="s">
        <v>77</v>
      </c>
      <c r="E16" s="83"/>
    </row>
    <row r="17" spans="2:5" ht="22" customHeight="1" x14ac:dyDescent="0.35">
      <c r="B17" s="18" t="s">
        <v>78</v>
      </c>
      <c r="C17" s="76"/>
      <c r="D17" s="99" t="s">
        <v>79</v>
      </c>
      <c r="E17" s="83"/>
    </row>
    <row r="18" spans="2:5" ht="22" customHeight="1" x14ac:dyDescent="0.35">
      <c r="B18" s="18" t="s">
        <v>80</v>
      </c>
      <c r="C18" s="76"/>
      <c r="D18" s="99" t="s">
        <v>81</v>
      </c>
      <c r="E18" s="83"/>
    </row>
    <row r="19" spans="2:5" ht="22" customHeight="1" x14ac:dyDescent="0.35">
      <c r="B19" s="18" t="s">
        <v>82</v>
      </c>
      <c r="C19" s="76"/>
      <c r="D19" s="99" t="s">
        <v>83</v>
      </c>
      <c r="E19" s="83"/>
    </row>
    <row r="20" spans="2:5" ht="22" customHeight="1" x14ac:dyDescent="0.35">
      <c r="B20" s="18" t="s">
        <v>84</v>
      </c>
      <c r="C20" s="76"/>
      <c r="D20" s="99" t="s">
        <v>85</v>
      </c>
      <c r="E20" s="83"/>
    </row>
    <row r="21" spans="2:5" ht="22" customHeight="1" x14ac:dyDescent="0.35">
      <c r="B21" s="18" t="s">
        <v>86</v>
      </c>
      <c r="C21" s="76"/>
      <c r="D21" s="99" t="s">
        <v>87</v>
      </c>
      <c r="E21" s="83"/>
    </row>
    <row r="23" spans="2:5" ht="18.5" x14ac:dyDescent="0.45">
      <c r="B23" s="84" t="s">
        <v>88</v>
      </c>
      <c r="C23" s="79"/>
      <c r="D23" s="79"/>
      <c r="E23" s="79"/>
    </row>
    <row r="24" spans="2:5" ht="22" customHeight="1" x14ac:dyDescent="0.35">
      <c r="B24" s="101" t="s">
        <v>89</v>
      </c>
      <c r="C24" s="102"/>
      <c r="D24" s="102"/>
      <c r="E24" s="103"/>
    </row>
    <row r="25" spans="2:5" ht="22" customHeight="1" x14ac:dyDescent="0.35">
      <c r="B25" s="104"/>
      <c r="C25" s="105"/>
      <c r="D25" s="105"/>
      <c r="E25" s="106"/>
    </row>
  </sheetData>
  <sheetProtection sheet="1" insertColumns="0" insertRows="0" deleteColumns="0" deleteRows="0" selectLockedCells="1" selectUnlockedCells="1"/>
  <mergeCells count="22">
    <mergeCell ref="B2:E2"/>
    <mergeCell ref="D18:E18"/>
    <mergeCell ref="D9:E9"/>
    <mergeCell ref="D12:E12"/>
    <mergeCell ref="D8:E8"/>
    <mergeCell ref="D15:E15"/>
    <mergeCell ref="D5:E5"/>
    <mergeCell ref="D14:E14"/>
    <mergeCell ref="B3:E3"/>
    <mergeCell ref="D17:E17"/>
    <mergeCell ref="B24:E25"/>
    <mergeCell ref="D16:E16"/>
    <mergeCell ref="D7:E7"/>
    <mergeCell ref="D4:E4"/>
    <mergeCell ref="B23:E23"/>
    <mergeCell ref="D20:E20"/>
    <mergeCell ref="D10:E10"/>
    <mergeCell ref="D19:E19"/>
    <mergeCell ref="D21:E21"/>
    <mergeCell ref="D6:E6"/>
    <mergeCell ref="D11:E11"/>
    <mergeCell ref="D13:E13"/>
  </mergeCells>
  <dataValidations count="4">
    <dataValidation type="list" allowBlank="1" sqref="C13" xr:uid="{00000000-0002-0000-0100-000000000000}">
      <formula1>"Assurance,Advisory,Overall opinion,Not an engagement report"</formula1>
    </dataValidation>
    <dataValidation type="list" allowBlank="1" sqref="C14" xr:uid="{00000000-0002-0000-0100-000001000000}">
      <formula1>"Final,Draft"</formula1>
    </dataValidation>
    <dataValidation type="list" allowBlank="1" sqref="C15" xr:uid="{00000000-0002-0000-0100-000002000000}">
      <formula1>"Report only,Report and file"</formula1>
    </dataValidation>
    <dataValidation type="list" allowBlank="1" sqref="C16" xr:uid="{00000000-0002-0000-0100-000003000000}">
      <formula1>"Before 9 January 2025,On or after 9 January 2025"</formula1>
    </dataValidation>
  </dataValidations>
  <printOptions horizontalCentered="1"/>
  <pageMargins left="0.5" right="0.5" top="0.55000000000000004" bottom="0.5" header="0.25" footer="0.25"/>
  <pageSetup paperSize="9" orientation="landscape"/>
  <headerFooter>
    <oddHeader>&amp;R&amp;"Calibri"&amp;9 Majid Mumtaz, CIA, ACA, FCCA</oddHeader>
    <oddFooter>&amp;LEngagement details&amp;RPage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8860B"/>
    <pageSetUpPr fitToPage="1"/>
  </sheetPr>
  <dimension ref="A1:AC47"/>
  <sheetViews>
    <sheetView showGridLines="0" zoomScale="110" workbookViewId="0">
      <pane xSplit="5" ySplit="5" topLeftCell="F6" activePane="bottomRight" state="frozen"/>
      <selection pane="topRight"/>
      <selection pane="bottomLeft"/>
      <selection pane="bottomRight"/>
    </sheetView>
  </sheetViews>
  <sheetFormatPr defaultRowHeight="14.5" x14ac:dyDescent="0.35"/>
  <cols>
    <col min="1" max="1" width="8" customWidth="1"/>
    <col min="2" max="2" width="22" customWidth="1"/>
    <col min="3" max="3" width="12" customWidth="1"/>
    <col min="4" max="4" width="10" customWidth="1"/>
    <col min="5" max="5" width="36" customWidth="1"/>
    <col min="6" max="6" width="46" customWidth="1"/>
    <col min="7" max="7" width="38" customWidth="1"/>
    <col min="8" max="8" width="44" customWidth="1"/>
    <col min="9" max="9" width="14" customWidth="1"/>
    <col min="10" max="10" width="22" customWidth="1"/>
    <col min="11" max="11" width="28" customWidth="1"/>
    <col min="12" max="12" width="12" customWidth="1"/>
    <col min="13" max="13" width="14" customWidth="1"/>
    <col min="14" max="15" width="10" customWidth="1"/>
    <col min="16" max="29" width="10" hidden="1" customWidth="1"/>
  </cols>
  <sheetData>
    <row r="1" spans="1:29" ht="26" customHeight="1" x14ac:dyDescent="0.6">
      <c r="A1" s="78" t="s">
        <v>90</v>
      </c>
      <c r="B1" s="79"/>
      <c r="C1" s="79"/>
      <c r="D1" s="79"/>
      <c r="E1" s="79"/>
      <c r="F1" s="79"/>
      <c r="G1" s="79"/>
      <c r="H1" s="79"/>
      <c r="I1" s="79"/>
      <c r="J1" s="79"/>
      <c r="K1" s="79"/>
      <c r="L1" s="79"/>
      <c r="M1" s="79"/>
      <c r="N1" s="79"/>
      <c r="O1" s="79"/>
    </row>
    <row r="2" spans="1:29" ht="32" customHeight="1" x14ac:dyDescent="0.35">
      <c r="A2" s="109" t="s">
        <v>91</v>
      </c>
      <c r="B2" s="79"/>
      <c r="C2" s="79"/>
      <c r="D2" s="79"/>
      <c r="E2" s="79"/>
      <c r="F2" s="79"/>
      <c r="G2" s="79"/>
      <c r="H2" s="79"/>
      <c r="I2" s="79"/>
      <c r="J2" s="79"/>
      <c r="K2" s="79"/>
      <c r="L2" s="79"/>
      <c r="M2" s="79"/>
      <c r="N2" s="79"/>
      <c r="O2" s="79"/>
    </row>
    <row r="3" spans="1:29" ht="15.5" x14ac:dyDescent="0.35">
      <c r="A3" s="108" t="str">
        <f>IF(ReportTitle="","Set 2. Details first.","Report: "&amp;ReportTitle&amp;"  |  "&amp;IF(EngagementType="","(set document type)",EngagementType)&amp;"  |  "&amp;IF(DocStatus="","(set status)",DocStatus)&amp;"  |  "&amp;IF(StandardsEra="","(set standards era)",StandardsEra))</f>
        <v>Set 2. Details first.</v>
      </c>
      <c r="B3" s="79"/>
      <c r="C3" s="79"/>
      <c r="D3" s="79"/>
      <c r="E3" s="79"/>
      <c r="F3" s="79"/>
      <c r="G3" s="79"/>
      <c r="H3" s="79"/>
      <c r="I3" s="79"/>
      <c r="J3" s="79"/>
      <c r="K3" s="79"/>
      <c r="L3" s="79"/>
      <c r="M3" s="79"/>
      <c r="N3" s="79"/>
      <c r="O3" s="79"/>
    </row>
    <row r="5" spans="1:29" ht="30" customHeight="1" x14ac:dyDescent="0.35">
      <c r="A5" s="20" t="s">
        <v>92</v>
      </c>
      <c r="B5" s="20" t="s">
        <v>93</v>
      </c>
      <c r="C5" s="20" t="s">
        <v>94</v>
      </c>
      <c r="D5" s="20" t="s">
        <v>95</v>
      </c>
      <c r="E5" s="20" t="s">
        <v>96</v>
      </c>
      <c r="F5" s="20" t="s">
        <v>97</v>
      </c>
      <c r="G5" s="20" t="s">
        <v>98</v>
      </c>
      <c r="H5" s="20" t="s">
        <v>99</v>
      </c>
      <c r="I5" s="20" t="s">
        <v>9</v>
      </c>
      <c r="J5" s="20" t="s">
        <v>100</v>
      </c>
      <c r="K5" s="20" t="s">
        <v>101</v>
      </c>
      <c r="L5" s="20" t="s">
        <v>102</v>
      </c>
      <c r="M5" s="20" t="s">
        <v>103</v>
      </c>
      <c r="N5" s="20" t="s">
        <v>104</v>
      </c>
      <c r="O5" s="20" t="s">
        <v>105</v>
      </c>
      <c r="P5" s="21" t="s">
        <v>106</v>
      </c>
      <c r="Q5" s="21" t="s">
        <v>107</v>
      </c>
      <c r="R5" s="21" t="s">
        <v>108</v>
      </c>
      <c r="S5" s="21" t="s">
        <v>109</v>
      </c>
      <c r="T5" s="21" t="s">
        <v>110</v>
      </c>
      <c r="U5" s="21" t="s">
        <v>111</v>
      </c>
      <c r="V5" s="21" t="s">
        <v>112</v>
      </c>
      <c r="W5" s="21" t="s">
        <v>113</v>
      </c>
      <c r="X5" s="21" t="s">
        <v>114</v>
      </c>
      <c r="Y5" s="21" t="s">
        <v>115</v>
      </c>
      <c r="Z5" s="21" t="s">
        <v>116</v>
      </c>
      <c r="AA5" s="21" t="s">
        <v>117</v>
      </c>
      <c r="AB5" s="21" t="s">
        <v>118</v>
      </c>
      <c r="AC5" t="s">
        <v>119</v>
      </c>
    </row>
    <row r="6" spans="1:29" ht="48" customHeight="1" x14ac:dyDescent="0.35">
      <c r="A6" s="22" t="s">
        <v>120</v>
      </c>
      <c r="B6" s="23" t="s">
        <v>121</v>
      </c>
      <c r="C6" s="24" t="s">
        <v>122</v>
      </c>
      <c r="D6" s="25" t="s">
        <v>123</v>
      </c>
      <c r="E6" s="23" t="s">
        <v>124</v>
      </c>
      <c r="F6" s="23" t="s">
        <v>125</v>
      </c>
      <c r="G6" s="23" t="str">
        <f>"13.3 "&amp;INDEX('6. Standards'!$B$5:$B$21,MATCH("13.3",'6. Standards'!$A$5:$A$21,0))&amp;" — "&amp;INDEX('6. Standards'!$C$5:$C$21,MATCH("13.3",'6. Standards'!$A$5:$A$21,0))&amp;CHAR(10)&amp;"15.1 "&amp;INDEX('6. Standards'!$B$5:$B$21,MATCH("15.1",'6. Standards'!$A$5:$A$21,0))&amp;" — "&amp;INDEX('6. Standards'!$C$5:$C$21,MATCH("15.1",'6. Standards'!$A$5:$A$21,0))</f>
        <v>13.3 Engagement Objectives and Scope — Requirements
15.1 Final Engagement Communication — Requirements</v>
      </c>
      <c r="H6" s="23" t="str">
        <f>"No other line switches this off."</f>
        <v>No other line switches this off.</v>
      </c>
      <c r="I6" s="77"/>
      <c r="J6" s="77"/>
      <c r="K6" s="77"/>
      <c r="L6" s="24" t="s">
        <v>126</v>
      </c>
      <c r="M6" s="24" t="s">
        <v>126</v>
      </c>
      <c r="N6" s="73">
        <f t="shared" ref="N6:N47" si="0">IF(OR(OR(AA6,AND(UPPER(TRIM(I6&amp;""))="N/A",L6="Yes"),AND(UPPER(TRIM(I6&amp;""))="NOT TESTED",M6="Yes")),OR(AND(UPPER(TRIM(I6&amp;""))="N/A",L6&lt;&gt;"Yes"),AND(UPPER(TRIM(I6&amp;""))="NOT TESTED",M6&lt;&gt;"Yes"),AND(NOT(I6=""),NOT(UPPER(TRIM(I6&amp;""))="N/A"),NOT(UPPER(TRIM(I6&amp;""))="NOT TESTED"),NOT(AND(ISNUMBER(IFERROR(VALUE(I6&amp;""),"")),OR(IFERROR(VALUE(I6&amp;""),"")=0,IFERROR(VALUE(I6&amp;""),"")=1,IFERROR(VALUE(I6&amp;""),"")=2,IFERROR(VALUE(I6&amp;""),"")=3)))))),0,IF(AND(ISNUMBER(IFERROR(VALUE(I6&amp;""),"")),OR(IFERROR(VALUE(I6&amp;""),"")=0,IFERROR(VALUE(I6&amp;""),"")=1,IFERROR(VALUE(I6&amp;""),"")=2,IFERROR(VALUE(I6&amp;""),"")=3)),IFERROR(VALUE(I6&amp;""),"")*IF(D6="Must",2,1),0))</f>
        <v>0</v>
      </c>
      <c r="O6" s="73">
        <f t="shared" ref="O6:O47" si="1">IF(OR(AA6,AND(UPPER(TRIM(I6&amp;""))="N/A",L6="Yes"),AND(UPPER(TRIM(I6&amp;""))="NOT TESTED",M6="Yes")),0,IF(OR(OR(AND(UPPER(TRIM(I6&amp;""))="N/A",L6&lt;&gt;"Yes"),AND(UPPER(TRIM(I6&amp;""))="NOT TESTED",M6&lt;&gt;"Yes"),AND(NOT(I6=""),NOT(UPPER(TRIM(I6&amp;""))="N/A"),NOT(UPPER(TRIM(I6&amp;""))="NOT TESTED"),NOT(AND(ISNUMBER(IFERROR(VALUE(I6&amp;""),"")),OR(IFERROR(VALUE(I6&amp;""),"")=0,IFERROR(VALUE(I6&amp;""),"")=1,IFERROR(VALUE(I6&amp;""),"")=2,IFERROR(VALUE(I6&amp;""),"")=3))))),AND(ISNUMBER(IFERROR(VALUE(I6&amp;""),"")),OR(IFERROR(VALUE(I6&amp;""),"")=0,IFERROR(VALUE(I6&amp;""),"")=1,IFERROR(VALUE(I6&amp;""),"")=2,IFERROR(VALUE(I6&amp;""),"")=3))),3*IF(D6="Must",2,1),0))</f>
        <v>0</v>
      </c>
      <c r="P6" s="74">
        <f t="shared" ref="P6:P47" si="2">IF(OR(AA6,NOT(AND(D6="Must",ISNUMBER(X6),X6=0))),0,1)</f>
        <v>0</v>
      </c>
      <c r="Q6" s="74">
        <f t="shared" ref="Q6:Q47" si="3">IF(OR(AA6,NOT(AND(D6="Must",ISNUMBER(X6),X6=1))),0,1)</f>
        <v>0</v>
      </c>
      <c r="R6" s="74">
        <f t="shared" ref="R6:R47" si="4">IF(AND(NOT(AA6),D6="Must",I6=""),1,0)</f>
        <v>1</v>
      </c>
      <c r="S6" s="74">
        <f t="shared" ref="S6:S47" si="5">IF(AND(NOT(AA6),UPPER(TRIM(I6&amp;""))="N/A",L6&lt;&gt;"Yes"),1,0)</f>
        <v>0</v>
      </c>
      <c r="T6" s="74">
        <f t="shared" ref="T6:T47" si="6">IF(AND(NOT(AA6),UPPER(TRIM(I6&amp;""))="NOT TESTED",M6&lt;&gt;"Yes"),1,0)</f>
        <v>0</v>
      </c>
      <c r="U6" s="74">
        <f t="shared" ref="U6:U47" si="7">IF(OR(AA6,NOT(AND(D6="Should",ISNUMBER(X6),X6=0))),0,1)</f>
        <v>0</v>
      </c>
      <c r="V6" s="74">
        <f t="shared" ref="V6:V47" si="8">IF(OR(AA6,NOT(AND(D6="Should",ISNUMBER(X6),X6=1))),0,1)</f>
        <v>0</v>
      </c>
      <c r="W6" s="74">
        <f t="shared" ref="W6:W47" si="9">IF(OR(I6="",AA6),0,1)</f>
        <v>0</v>
      </c>
      <c r="X6" s="74" t="str">
        <f t="shared" ref="X6:X47" si="10">IF(I6="","",IF(UPPER(TRIM(I6&amp;""))="N/A","N/A",IF(UPPER(TRIM(I6&amp;""))="NOT TESTED","NT",IF(AND(ISNUMBER(IFERROR(VALUE(I6&amp;""),"")),OR(IFERROR(VALUE(I6&amp;""),"")=0,IFERROR(VALUE(I6&amp;""),"")=1,IFERROR(VALUE(I6&amp;""),"")=2,IFERROR(VALUE(I6&amp;""),"")=3)),IFERROR(VALUE(I6&amp;""),""),"BAD"))))</f>
        <v/>
      </c>
      <c r="Y6" s="74">
        <f t="shared" ref="Y6:Y47" si="11">IF(OR(AA6,NOT(OR(AND(D6="Must",I6="",SUM($W$6:$W$47)&gt;0),AND(ISNUMBER(X6),X6&lt;2),AND(UPPER(TRIM(I6&amp;""))="N/A",L6&lt;&gt;"Yes"),AND(UPPER(TRIM(I6&amp;""))="NOT TESTED",M6&lt;&gt;"Yes"),AND(NOT(I6=""),NOT(UPPER(TRIM(I6&amp;""))="N/A"),NOT(UPPER(TRIM(I6&amp;""))="NOT TESTED"),NOT(AND(ISNUMBER(IFERROR(VALUE(I6&amp;""),"")),OR(IFERROR(VALUE(I6&amp;""),"")=0,IFERROR(VALUE(I6&amp;""),"")=1,IFERROR(VALUE(I6&amp;""),"")=2,IFERROR(VALUE(I6&amp;""),"")=3))))))),0,1)</f>
        <v>0</v>
      </c>
      <c r="Z6" s="74">
        <f>IF(Y6=1,COUNTIF($Y$6:Y6,1),0)</f>
        <v>0</v>
      </c>
      <c r="AA6" s="74" t="b">
        <f t="shared" ref="AA6:AA47" si="12">OR(AND(LEFT(A6,1)="O",EngagementType&lt;&gt;"Overall opinion"),AND(A6="G3",StandardsEra="Before 9 January 2025"),AND(A6="E2",OR(INDEX($I$6:$I$47,MATCH("E1",$A$6:$A$47,0))=0,INDEX($I$6:$I$47,MATCH("E1",$A$6:$A$47,0))="0")),AND(A6="B2",UPPER(TRIM(INDEX($I$6:$I$47,MATCH("B1",$A$6:$A$47,0))&amp;""))="N/A"),AND(OR(A6="D1",A6="D2",A6="D3",A6="D4",A6="D5"),UPPER(TRIM(INDEX($I$6:$I$47,MATCH("C1",$A$6:$A$47,0))&amp;""))="N/A"))</f>
        <v>0</v>
      </c>
      <c r="AB6" s="26" t="s">
        <v>127</v>
      </c>
      <c r="AC6">
        <f t="shared" ref="AC6:AC47" si="13">IF(AND(NOT(AA6),AND(NOT(I6=""),NOT(UPPER(TRIM(I6&amp;""))="N/A"),NOT(UPPER(TRIM(I6&amp;""))="NOT TESTED"),NOT(AND(ISNUMBER(IFERROR(VALUE(I6&amp;""),"")),OR(IFERROR(VALUE(I6&amp;""),"")=0,IFERROR(VALUE(I6&amp;""),"")=1,IFERROR(VALUE(I6&amp;""),"")=2,IFERROR(VALUE(I6&amp;""),"")=3))))),1,0)</f>
        <v>0</v>
      </c>
    </row>
    <row r="7" spans="1:29" ht="48" customHeight="1" x14ac:dyDescent="0.35">
      <c r="A7" s="22" t="s">
        <v>128</v>
      </c>
      <c r="B7" s="23" t="s">
        <v>121</v>
      </c>
      <c r="C7" s="24" t="s">
        <v>122</v>
      </c>
      <c r="D7" s="25" t="s">
        <v>123</v>
      </c>
      <c r="E7" s="23" t="s">
        <v>129</v>
      </c>
      <c r="F7" s="23" t="s">
        <v>130</v>
      </c>
      <c r="G7" s="23" t="str">
        <f>"13.3 "&amp;INDEX('6. Standards'!$B$5:$B$21,MATCH("13.3",'6. Standards'!$A$5:$A$21,0))&amp;" — "&amp;INDEX('6. Standards'!$C$5:$C$21,MATCH("13.3",'6. Standards'!$A$5:$A$21,0))&amp;CHAR(10)&amp;"15.1 "&amp;INDEX('6. Standards'!$B$5:$B$21,MATCH("15.1",'6. Standards'!$A$5:$A$21,0))&amp;" — "&amp;INDEX('6. Standards'!$C$5:$C$21,MATCH("15.1",'6. Standards'!$A$5:$A$21,0))</f>
        <v>13.3 Engagement Objectives and Scope — Requirements
15.1 Final Engagement Communication — Requirements</v>
      </c>
      <c r="H7" s="23" t="str">
        <f>"No other line switches this off."</f>
        <v>No other line switches this off.</v>
      </c>
      <c r="I7" s="77"/>
      <c r="J7" s="77"/>
      <c r="K7" s="77"/>
      <c r="L7" s="24" t="s">
        <v>126</v>
      </c>
      <c r="M7" s="24" t="s">
        <v>126</v>
      </c>
      <c r="N7" s="73">
        <f t="shared" si="0"/>
        <v>0</v>
      </c>
      <c r="O7" s="73">
        <f t="shared" si="1"/>
        <v>0</v>
      </c>
      <c r="P7" s="74">
        <f t="shared" si="2"/>
        <v>0</v>
      </c>
      <c r="Q7" s="74">
        <f t="shared" si="3"/>
        <v>0</v>
      </c>
      <c r="R7" s="74">
        <f t="shared" si="4"/>
        <v>1</v>
      </c>
      <c r="S7" s="74">
        <f t="shared" si="5"/>
        <v>0</v>
      </c>
      <c r="T7" s="74">
        <f t="shared" si="6"/>
        <v>0</v>
      </c>
      <c r="U7" s="74">
        <f t="shared" si="7"/>
        <v>0</v>
      </c>
      <c r="V7" s="74">
        <f t="shared" si="8"/>
        <v>0</v>
      </c>
      <c r="W7" s="74">
        <f t="shared" si="9"/>
        <v>0</v>
      </c>
      <c r="X7" s="74" t="str">
        <f t="shared" si="10"/>
        <v/>
      </c>
      <c r="Y7" s="74">
        <f t="shared" si="11"/>
        <v>0</v>
      </c>
      <c r="Z7" s="74">
        <f>IF(Y7=1,COUNTIF($Y$6:Y7,1),0)</f>
        <v>0</v>
      </c>
      <c r="AA7" s="74" t="b">
        <f t="shared" si="12"/>
        <v>0</v>
      </c>
      <c r="AB7" s="26" t="s">
        <v>127</v>
      </c>
      <c r="AC7">
        <f t="shared" si="13"/>
        <v>0</v>
      </c>
    </row>
    <row r="8" spans="1:29" ht="48" customHeight="1" x14ac:dyDescent="0.35">
      <c r="A8" s="22" t="s">
        <v>131</v>
      </c>
      <c r="B8" s="23" t="s">
        <v>121</v>
      </c>
      <c r="C8" s="24" t="s">
        <v>122</v>
      </c>
      <c r="D8" s="25" t="s">
        <v>123</v>
      </c>
      <c r="E8" s="23" t="s">
        <v>132</v>
      </c>
      <c r="F8" s="23" t="s">
        <v>133</v>
      </c>
      <c r="G8" s="23" t="str">
        <f>"15.1 "&amp;INDEX('6. Standards'!$B$5:$B$21,MATCH("15.1",'6. Standards'!$A$5:$A$21,0))&amp;" — "&amp;INDEX('6. Standards'!$C$5:$C$21,MATCH("15.1",'6. Standards'!$A$5:$A$21,0))&amp;CHAR(10)&amp;"13.3 "&amp;INDEX('6. Standards'!$B$5:$B$21,MATCH("13.3",'6. Standards'!$A$5:$A$21,0))&amp;" — "&amp;INDEX('6. Standards'!$C$5:$C$21,MATCH("13.3",'6. Standards'!$A$5:$A$21,0))</f>
        <v>15.1 Final Engagement Communication — Requirements
13.3 Engagement Objectives and Scope — Requirements</v>
      </c>
      <c r="H8" s="23" t="str">
        <f>"No other line switches this off."</f>
        <v>No other line switches this off.</v>
      </c>
      <c r="I8" s="77"/>
      <c r="J8" s="77"/>
      <c r="K8" s="77"/>
      <c r="L8" s="24" t="s">
        <v>134</v>
      </c>
      <c r="M8" s="24" t="s">
        <v>126</v>
      </c>
      <c r="N8" s="73">
        <f t="shared" si="0"/>
        <v>0</v>
      </c>
      <c r="O8" s="73">
        <f t="shared" si="1"/>
        <v>0</v>
      </c>
      <c r="P8" s="74">
        <f t="shared" si="2"/>
        <v>0</v>
      </c>
      <c r="Q8" s="74">
        <f t="shared" si="3"/>
        <v>0</v>
      </c>
      <c r="R8" s="74">
        <f t="shared" si="4"/>
        <v>1</v>
      </c>
      <c r="S8" s="74">
        <f t="shared" si="5"/>
        <v>0</v>
      </c>
      <c r="T8" s="74">
        <f t="shared" si="6"/>
        <v>0</v>
      </c>
      <c r="U8" s="74">
        <f t="shared" si="7"/>
        <v>0</v>
      </c>
      <c r="V8" s="74">
        <f t="shared" si="8"/>
        <v>0</v>
      </c>
      <c r="W8" s="74">
        <f t="shared" si="9"/>
        <v>0</v>
      </c>
      <c r="X8" s="74" t="str">
        <f t="shared" si="10"/>
        <v/>
      </c>
      <c r="Y8" s="74">
        <f t="shared" si="11"/>
        <v>0</v>
      </c>
      <c r="Z8" s="74">
        <f>IF(Y8=1,COUNTIF($Y$6:Y8,1),0)</f>
        <v>0</v>
      </c>
      <c r="AA8" s="74" t="b">
        <f t="shared" si="12"/>
        <v>0</v>
      </c>
      <c r="AB8" s="26" t="s">
        <v>135</v>
      </c>
      <c r="AC8">
        <f t="shared" si="13"/>
        <v>0</v>
      </c>
    </row>
    <row r="9" spans="1:29" ht="48" customHeight="1" x14ac:dyDescent="0.35">
      <c r="A9" s="27" t="s">
        <v>136</v>
      </c>
      <c r="B9" s="28" t="s">
        <v>137</v>
      </c>
      <c r="C9" s="29" t="s">
        <v>138</v>
      </c>
      <c r="D9" s="30" t="s">
        <v>123</v>
      </c>
      <c r="E9" s="28" t="s">
        <v>139</v>
      </c>
      <c r="F9" s="28" t="s">
        <v>140</v>
      </c>
      <c r="G9" s="28" t="str">
        <f>"13.4 "&amp;INDEX('6. Standards'!$B$5:$B$21,MATCH("13.4",'6. Standards'!$A$5:$A$21,0))&amp;" — "&amp;INDEX('6. Standards'!$C$5:$C$21,MATCH("13.4",'6. Standards'!$A$5:$A$21,0))&amp;CHAR(10)&amp;"14.2 "&amp;INDEX('6. Standards'!$B$5:$B$21,MATCH("14.2",'6. Standards'!$A$5:$A$21,0))&amp;" — "&amp;INDEX('6. Standards'!$C$5:$C$21,MATCH("14.2",'6. Standards'!$A$5:$A$21,0))</f>
        <v>13.4 Evaluation Criteria — Requirements
14.2 Analyses and Potential Engagement Findings — Requirements</v>
      </c>
      <c r="H9" s="28" t="str">
        <f>"No other line switches this off."&amp;IF(COUNTA('4. Findings'!A8:A27)=0,""," Findings sheet, criteria: "&amp;COUNTIF('4. Findings'!C$8:C$27,"Y")&amp;" Y, "&amp;COUNTIF('4. Findings'!C$8:C$27,"P")&amp;" P, "&amp;COUNTIF('4. Findings'!C$8:C$27,"N")&amp;" N.")</f>
        <v>No other line switches this off.</v>
      </c>
      <c r="I9" s="77"/>
      <c r="J9" s="77"/>
      <c r="K9" s="77"/>
      <c r="L9" s="29" t="s">
        <v>134</v>
      </c>
      <c r="M9" s="29" t="s">
        <v>126</v>
      </c>
      <c r="N9" s="73">
        <f t="shared" si="0"/>
        <v>0</v>
      </c>
      <c r="O9" s="73">
        <f t="shared" si="1"/>
        <v>0</v>
      </c>
      <c r="P9" s="74">
        <f t="shared" si="2"/>
        <v>0</v>
      </c>
      <c r="Q9" s="74">
        <f t="shared" si="3"/>
        <v>0</v>
      </c>
      <c r="R9" s="74">
        <f t="shared" si="4"/>
        <v>1</v>
      </c>
      <c r="S9" s="74">
        <f t="shared" si="5"/>
        <v>0</v>
      </c>
      <c r="T9" s="74">
        <f t="shared" si="6"/>
        <v>0</v>
      </c>
      <c r="U9" s="74">
        <f t="shared" si="7"/>
        <v>0</v>
      </c>
      <c r="V9" s="74">
        <f t="shared" si="8"/>
        <v>0</v>
      </c>
      <c r="W9" s="74">
        <f t="shared" si="9"/>
        <v>0</v>
      </c>
      <c r="X9" s="74" t="str">
        <f t="shared" si="10"/>
        <v/>
      </c>
      <c r="Y9" s="74">
        <f t="shared" si="11"/>
        <v>0</v>
      </c>
      <c r="Z9" s="74">
        <f>IF(Y9=1,COUNTIF($Y$6:Y9,1),0)</f>
        <v>0</v>
      </c>
      <c r="AA9" s="74" t="b">
        <f t="shared" si="12"/>
        <v>0</v>
      </c>
      <c r="AB9" s="26" t="s">
        <v>141</v>
      </c>
      <c r="AC9">
        <f t="shared" si="13"/>
        <v>0</v>
      </c>
    </row>
    <row r="10" spans="1:29" ht="48" customHeight="1" x14ac:dyDescent="0.35">
      <c r="A10" s="27" t="s">
        <v>142</v>
      </c>
      <c r="B10" s="28" t="s">
        <v>137</v>
      </c>
      <c r="C10" s="29" t="s">
        <v>138</v>
      </c>
      <c r="D10" s="30" t="s">
        <v>123</v>
      </c>
      <c r="E10" s="28" t="s">
        <v>143</v>
      </c>
      <c r="F10" s="28" t="s">
        <v>144</v>
      </c>
      <c r="G10" s="28" t="str">
        <f>"13.4 "&amp;INDEX('6. Standards'!$B$5:$B$21,MATCH("13.4",'6. Standards'!$A$5:$A$21,0))&amp;" — "&amp;INDEX('6. Standards'!$C$5:$C$21,MATCH("13.4",'6. Standards'!$A$5:$A$21,0))</f>
        <v>13.4 Evaluation Criteria — Requirements</v>
      </c>
      <c r="H10" s="28" t="str">
        <f>IF(UPPER(TRIM(INDEX($I$6:$I$47,MATCH("B1",$A$6:$A$47,0))&amp;""))="N/A","Off. "&amp;INDEX($A$6:$A$47,MATCH("B1",$A$6:$A$47,0))&amp;" is N/A, so this line is not scored.","On. Use N/A only when "&amp;INDEX($A$6:$A$47,MATCH("B1",$A$6:$A$47,0))&amp;" is N/A. "&amp;INDEX($A$6:$A$47,MATCH("B1",$A$6:$A$47,0))&amp;" is "&amp;IF(INDEX($I$6:$I$47,MATCH("B1",$A$6:$A$47,0))="","blank",INDEX($I$6:$I$47,MATCH("B1",$A$6:$A$47,0)))&amp;".")&amp;IF(COUNTA('4. Findings'!A8:A27)=0,""," Findings sheet, criteria: "&amp;COUNTIF('4. Findings'!C$8:C$27,"Y")&amp;" Y, "&amp;COUNTIF('4. Findings'!C$8:C$27,"P")&amp;" P, "&amp;COUNTIF('4. Findings'!C$8:C$27,"N")&amp;" N.")</f>
        <v>On. Use N/A only when B1 is N/A. B1 is blank.</v>
      </c>
      <c r="I10" s="77"/>
      <c r="J10" s="77"/>
      <c r="K10" s="77"/>
      <c r="L10" s="29" t="s">
        <v>134</v>
      </c>
      <c r="M10" s="29" t="s">
        <v>126</v>
      </c>
      <c r="N10" s="73">
        <f t="shared" si="0"/>
        <v>0</v>
      </c>
      <c r="O10" s="73">
        <f t="shared" si="1"/>
        <v>0</v>
      </c>
      <c r="P10" s="74">
        <f t="shared" si="2"/>
        <v>0</v>
      </c>
      <c r="Q10" s="74">
        <f t="shared" si="3"/>
        <v>0</v>
      </c>
      <c r="R10" s="74">
        <f t="shared" si="4"/>
        <v>1</v>
      </c>
      <c r="S10" s="74">
        <f t="shared" si="5"/>
        <v>0</v>
      </c>
      <c r="T10" s="74">
        <f t="shared" si="6"/>
        <v>0</v>
      </c>
      <c r="U10" s="74">
        <f t="shared" si="7"/>
        <v>0</v>
      </c>
      <c r="V10" s="74">
        <f t="shared" si="8"/>
        <v>0</v>
      </c>
      <c r="W10" s="74">
        <f t="shared" si="9"/>
        <v>0</v>
      </c>
      <c r="X10" s="74" t="str">
        <f t="shared" si="10"/>
        <v/>
      </c>
      <c r="Y10" s="74">
        <f t="shared" si="11"/>
        <v>0</v>
      </c>
      <c r="Z10" s="74">
        <f>IF(Y10=1,COUNTIF($Y$6:Y10,1),0)</f>
        <v>0</v>
      </c>
      <c r="AA10" s="74" t="b">
        <f t="shared" si="12"/>
        <v>0</v>
      </c>
      <c r="AB10" s="26" t="s">
        <v>145</v>
      </c>
      <c r="AC10">
        <f t="shared" si="13"/>
        <v>0</v>
      </c>
    </row>
    <row r="11" spans="1:29" ht="48" customHeight="1" x14ac:dyDescent="0.35">
      <c r="A11" s="31" t="s">
        <v>146</v>
      </c>
      <c r="B11" s="32" t="s">
        <v>138</v>
      </c>
      <c r="C11" s="33" t="s">
        <v>138</v>
      </c>
      <c r="D11" s="34" t="s">
        <v>123</v>
      </c>
      <c r="E11" s="32" t="s">
        <v>147</v>
      </c>
      <c r="F11" s="32" t="s">
        <v>148</v>
      </c>
      <c r="G11" s="32" t="str">
        <f>"14.2 "&amp;INDEX('6. Standards'!$B$5:$B$21,MATCH("14.2",'6. Standards'!$A$5:$A$21,0))&amp;" — "&amp;INDEX('6. Standards'!$C$5:$C$21,MATCH("14.2",'6. Standards'!$A$5:$A$21,0))</f>
        <v>14.2 Analyses and Potential Engagement Findings — Requirements</v>
      </c>
      <c r="H11" s="32" t="str">
        <f>"No other line switches this off. Use N/A only when the engagement has no findings."&amp;IF(COUNTA('4. Findings'!A8:A27)=0,""," Findings sheet, condition: "&amp;COUNTIF('4. Findings'!D$8:D$27,"Y")&amp;" Y, "&amp;COUNTIF('4. Findings'!D$8:D$27,"P")&amp;" P, "&amp;COUNTIF('4. Findings'!D$8:D$27,"N")&amp;" N.")</f>
        <v>No other line switches this off. Use N/A only when the engagement has no findings.</v>
      </c>
      <c r="I11" s="77"/>
      <c r="J11" s="77"/>
      <c r="K11" s="77"/>
      <c r="L11" s="33" t="s">
        <v>134</v>
      </c>
      <c r="M11" s="33" t="s">
        <v>126</v>
      </c>
      <c r="N11" s="73">
        <f t="shared" si="0"/>
        <v>0</v>
      </c>
      <c r="O11" s="73">
        <f t="shared" si="1"/>
        <v>0</v>
      </c>
      <c r="P11" s="74">
        <f t="shared" si="2"/>
        <v>0</v>
      </c>
      <c r="Q11" s="74">
        <f t="shared" si="3"/>
        <v>0</v>
      </c>
      <c r="R11" s="74">
        <f t="shared" si="4"/>
        <v>1</v>
      </c>
      <c r="S11" s="74">
        <f t="shared" si="5"/>
        <v>0</v>
      </c>
      <c r="T11" s="74">
        <f t="shared" si="6"/>
        <v>0</v>
      </c>
      <c r="U11" s="74">
        <f t="shared" si="7"/>
        <v>0</v>
      </c>
      <c r="V11" s="74">
        <f t="shared" si="8"/>
        <v>0</v>
      </c>
      <c r="W11" s="74">
        <f t="shared" si="9"/>
        <v>0</v>
      </c>
      <c r="X11" s="74" t="str">
        <f t="shared" si="10"/>
        <v/>
      </c>
      <c r="Y11" s="74">
        <f t="shared" si="11"/>
        <v>0</v>
      </c>
      <c r="Z11" s="74">
        <f>IF(Y11=1,COUNTIF($Y$6:Y11,1),0)</f>
        <v>0</v>
      </c>
      <c r="AA11" s="74" t="b">
        <f t="shared" si="12"/>
        <v>0</v>
      </c>
      <c r="AB11" s="26" t="s">
        <v>149</v>
      </c>
      <c r="AC11">
        <f t="shared" si="13"/>
        <v>0</v>
      </c>
    </row>
    <row r="12" spans="1:29" ht="48" customHeight="1" x14ac:dyDescent="0.35">
      <c r="A12" s="31" t="s">
        <v>150</v>
      </c>
      <c r="B12" s="32" t="s">
        <v>138</v>
      </c>
      <c r="C12" s="33" t="s">
        <v>138</v>
      </c>
      <c r="D12" s="34" t="s">
        <v>123</v>
      </c>
      <c r="E12" s="32" t="s">
        <v>151</v>
      </c>
      <c r="F12" s="32" t="s">
        <v>152</v>
      </c>
      <c r="G12" s="32" t="str">
        <f>"14.3 "&amp;INDEX('6. Standards'!$B$5:$B$21,MATCH("14.3",'6. Standards'!$A$5:$A$21,0))&amp;" — "&amp;INDEX('6. Standards'!$C$5:$C$21,MATCH("14.3",'6. Standards'!$A$5:$A$21,0))</f>
        <v>14.3 Evaluation of Findings — Requirements</v>
      </c>
      <c r="H12" s="32" t="str">
        <f>"No other line switches this off."&amp;IF(COUNTA('4. Findings'!A8:A27)=0,""," Findings sheet, cause: "&amp;COUNTIF('4. Findings'!E$8:E$27,"Y")&amp;" Y, "&amp;COUNTIF('4. Findings'!E$8:E$27,"P")&amp;" P, "&amp;COUNTIF('4. Findings'!E$8:E$27,"N")&amp;" N.")</f>
        <v>No other line switches this off.</v>
      </c>
      <c r="I12" s="77"/>
      <c r="J12" s="77"/>
      <c r="K12" s="77"/>
      <c r="L12" s="33" t="s">
        <v>126</v>
      </c>
      <c r="M12" s="33" t="s">
        <v>126</v>
      </c>
      <c r="N12" s="73">
        <f t="shared" si="0"/>
        <v>0</v>
      </c>
      <c r="O12" s="73">
        <f t="shared" si="1"/>
        <v>0</v>
      </c>
      <c r="P12" s="74">
        <f t="shared" si="2"/>
        <v>0</v>
      </c>
      <c r="Q12" s="74">
        <f t="shared" si="3"/>
        <v>0</v>
      </c>
      <c r="R12" s="74">
        <f t="shared" si="4"/>
        <v>1</v>
      </c>
      <c r="S12" s="74">
        <f t="shared" si="5"/>
        <v>0</v>
      </c>
      <c r="T12" s="74">
        <f t="shared" si="6"/>
        <v>0</v>
      </c>
      <c r="U12" s="74">
        <f t="shared" si="7"/>
        <v>0</v>
      </c>
      <c r="V12" s="74">
        <f t="shared" si="8"/>
        <v>0</v>
      </c>
      <c r="W12" s="74">
        <f t="shared" si="9"/>
        <v>0</v>
      </c>
      <c r="X12" s="74" t="str">
        <f t="shared" si="10"/>
        <v/>
      </c>
      <c r="Y12" s="74">
        <f t="shared" si="11"/>
        <v>0</v>
      </c>
      <c r="Z12" s="74">
        <f>IF(Y12=1,COUNTIF($Y$6:Y12,1),0)</f>
        <v>0</v>
      </c>
      <c r="AA12" s="74" t="b">
        <f t="shared" si="12"/>
        <v>0</v>
      </c>
      <c r="AB12" s="26" t="s">
        <v>153</v>
      </c>
      <c r="AC12">
        <f t="shared" si="13"/>
        <v>0</v>
      </c>
    </row>
    <row r="13" spans="1:29" ht="48" customHeight="1" x14ac:dyDescent="0.35">
      <c r="A13" s="31" t="s">
        <v>154</v>
      </c>
      <c r="B13" s="32" t="s">
        <v>138</v>
      </c>
      <c r="C13" s="33" t="s">
        <v>138</v>
      </c>
      <c r="D13" s="34" t="s">
        <v>123</v>
      </c>
      <c r="E13" s="32" t="s">
        <v>155</v>
      </c>
      <c r="F13" s="32" t="s">
        <v>156</v>
      </c>
      <c r="G13" s="32" t="str">
        <f>"14.3 "&amp;INDEX('6. Standards'!$B$5:$B$21,MATCH("14.3",'6. Standards'!$A$5:$A$21,0))&amp;" — "&amp;INDEX('6. Standards'!$C$5:$C$21,MATCH("14.3",'6. Standards'!$A$5:$A$21,0))</f>
        <v>14.3 Evaluation of Findings — Requirements</v>
      </c>
      <c r="H13" s="32" t="str">
        <f>"No other line switches this off."&amp;IF(COUNTA('4. Findings'!A8:A27)=0,""," Findings sheet, effect: "&amp;COUNTIF('4. Findings'!F$8:F$27,"Y")&amp;" Y, "&amp;COUNTIF('4. Findings'!F$8:F$27,"P")&amp;" P, "&amp;COUNTIF('4. Findings'!F$8:F$27,"N")&amp;" N.")</f>
        <v>No other line switches this off.</v>
      </c>
      <c r="I13" s="77"/>
      <c r="J13" s="77"/>
      <c r="K13" s="77"/>
      <c r="L13" s="33" t="s">
        <v>126</v>
      </c>
      <c r="M13" s="33" t="s">
        <v>126</v>
      </c>
      <c r="N13" s="73">
        <f t="shared" si="0"/>
        <v>0</v>
      </c>
      <c r="O13" s="73">
        <f t="shared" si="1"/>
        <v>0</v>
      </c>
      <c r="P13" s="74">
        <f t="shared" si="2"/>
        <v>0</v>
      </c>
      <c r="Q13" s="74">
        <f t="shared" si="3"/>
        <v>0</v>
      </c>
      <c r="R13" s="74">
        <f t="shared" si="4"/>
        <v>1</v>
      </c>
      <c r="S13" s="74">
        <f t="shared" si="5"/>
        <v>0</v>
      </c>
      <c r="T13" s="74">
        <f t="shared" si="6"/>
        <v>0</v>
      </c>
      <c r="U13" s="74">
        <f t="shared" si="7"/>
        <v>0</v>
      </c>
      <c r="V13" s="74">
        <f t="shared" si="8"/>
        <v>0</v>
      </c>
      <c r="W13" s="74">
        <f t="shared" si="9"/>
        <v>0</v>
      </c>
      <c r="X13" s="74" t="str">
        <f t="shared" si="10"/>
        <v/>
      </c>
      <c r="Y13" s="74">
        <f t="shared" si="11"/>
        <v>0</v>
      </c>
      <c r="Z13" s="74">
        <f>IF(Y13=1,COUNTIF($Y$6:Y13,1),0)</f>
        <v>0</v>
      </c>
      <c r="AA13" s="74" t="b">
        <f t="shared" si="12"/>
        <v>0</v>
      </c>
      <c r="AB13" s="26" t="s">
        <v>153</v>
      </c>
      <c r="AC13">
        <f t="shared" si="13"/>
        <v>0</v>
      </c>
    </row>
    <row r="14" spans="1:29" ht="48" customHeight="1" x14ac:dyDescent="0.35">
      <c r="A14" s="31" t="s">
        <v>157</v>
      </c>
      <c r="B14" s="32" t="s">
        <v>138</v>
      </c>
      <c r="C14" s="33" t="s">
        <v>138</v>
      </c>
      <c r="D14" s="34" t="s">
        <v>123</v>
      </c>
      <c r="E14" s="32" t="s">
        <v>158</v>
      </c>
      <c r="F14" s="32" t="s">
        <v>159</v>
      </c>
      <c r="G14" s="32" t="str">
        <f>"14.3 "&amp;INDEX('6. Standards'!$B$5:$B$21,MATCH("14.3",'6. Standards'!$A$5:$A$21,0))&amp;" — "&amp;INDEX('6. Standards'!$C$5:$C$21,MATCH("14.3",'6. Standards'!$A$5:$A$21,0))&amp;CHAR(10)&amp;"15.1 "&amp;INDEX('6. Standards'!$B$5:$B$21,MATCH("15.1",'6. Standards'!$A$5:$A$21,0))&amp;" — "&amp;INDEX('6. Standards'!$C$5:$C$21,MATCH("15.1",'6. Standards'!$A$5:$A$21,0))</f>
        <v>14.3 Evaluation of Findings — Requirements
15.1 Final Engagement Communication — Requirements</v>
      </c>
      <c r="H14" s="32" t="str">
        <f>"No other line switches this off."&amp;IF(COUNTA('4. Findings'!A8:A27)=0,""," Findings sheet, priority: "&amp;COUNTIF('4. Findings'!G$8:G$27,"Y")&amp;" Y, "&amp;COUNTIF('4. Findings'!G$8:G$27,"P")&amp;" P, "&amp;COUNTIF('4. Findings'!G$8:G$27,"N")&amp;" N.")</f>
        <v>No other line switches this off.</v>
      </c>
      <c r="I14" s="77"/>
      <c r="J14" s="77"/>
      <c r="K14" s="77"/>
      <c r="L14" s="33" t="s">
        <v>134</v>
      </c>
      <c r="M14" s="33" t="s">
        <v>126</v>
      </c>
      <c r="N14" s="73">
        <f t="shared" si="0"/>
        <v>0</v>
      </c>
      <c r="O14" s="73">
        <f t="shared" si="1"/>
        <v>0</v>
      </c>
      <c r="P14" s="74">
        <f t="shared" si="2"/>
        <v>0</v>
      </c>
      <c r="Q14" s="74">
        <f t="shared" si="3"/>
        <v>0</v>
      </c>
      <c r="R14" s="74">
        <f t="shared" si="4"/>
        <v>1</v>
      </c>
      <c r="S14" s="74">
        <f t="shared" si="5"/>
        <v>0</v>
      </c>
      <c r="T14" s="74">
        <f t="shared" si="6"/>
        <v>0</v>
      </c>
      <c r="U14" s="74">
        <f t="shared" si="7"/>
        <v>0</v>
      </c>
      <c r="V14" s="74">
        <f t="shared" si="8"/>
        <v>0</v>
      </c>
      <c r="W14" s="74">
        <f t="shared" si="9"/>
        <v>0</v>
      </c>
      <c r="X14" s="74" t="str">
        <f t="shared" si="10"/>
        <v/>
      </c>
      <c r="Y14" s="74">
        <f t="shared" si="11"/>
        <v>0</v>
      </c>
      <c r="Z14" s="74">
        <f>IF(Y14=1,COUNTIF($Y$6:Y14,1),0)</f>
        <v>0</v>
      </c>
      <c r="AA14" s="74" t="b">
        <f t="shared" si="12"/>
        <v>0</v>
      </c>
      <c r="AB14" s="26" t="s">
        <v>160</v>
      </c>
      <c r="AC14">
        <f t="shared" si="13"/>
        <v>0</v>
      </c>
    </row>
    <row r="15" spans="1:29" ht="48" customHeight="1" x14ac:dyDescent="0.35">
      <c r="A15" s="31" t="s">
        <v>161</v>
      </c>
      <c r="B15" s="32" t="s">
        <v>138</v>
      </c>
      <c r="C15" s="33" t="s">
        <v>138</v>
      </c>
      <c r="D15" s="34" t="s">
        <v>123</v>
      </c>
      <c r="E15" s="32" t="s">
        <v>162</v>
      </c>
      <c r="F15" s="32" t="s">
        <v>163</v>
      </c>
      <c r="G15" s="32" t="str">
        <f>"14.1 "&amp;INDEX('6. Standards'!$B$5:$B$21,MATCH("14.1",'6. Standards'!$A$5:$A$21,0))&amp;" — "&amp;INDEX('6. Standards'!$C$5:$C$21,MATCH("14.1",'6. Standards'!$A$5:$A$21,0))&amp;CHAR(10)&amp;"11.2 "&amp;INDEX('6. Standards'!$B$5:$B$21,MATCH("11.2",'6. Standards'!$A$5:$A$21,0))&amp;" — "&amp;INDEX('6. Standards'!$C$5:$C$21,MATCH("11.2",'6. Standards'!$A$5:$A$21,0))</f>
        <v>14.1 Gathering Information for Analyses and Evaluation — Requirements
11.2 Effective Communication — Requirements</v>
      </c>
      <c r="H15" s="32" t="str">
        <f>"No other line switches this off."&amp;IF(COUNTA('4. Findings'!A8:A27)=0,""," Findings sheet, evidence: "&amp;COUNTIF('4. Findings'!H$8:H$27,"Y")&amp;" Y, "&amp;COUNTIF('4. Findings'!H$8:H$27,"P")&amp;" P, "&amp;COUNTIF('4. Findings'!H$8:H$27,"N")&amp;" N.")</f>
        <v>No other line switches this off.</v>
      </c>
      <c r="I15" s="77"/>
      <c r="J15" s="77"/>
      <c r="K15" s="77"/>
      <c r="L15" s="33" t="s">
        <v>126</v>
      </c>
      <c r="M15" s="33" t="s">
        <v>126</v>
      </c>
      <c r="N15" s="73">
        <f t="shared" si="0"/>
        <v>0</v>
      </c>
      <c r="O15" s="73">
        <f t="shared" si="1"/>
        <v>0</v>
      </c>
      <c r="P15" s="74">
        <f t="shared" si="2"/>
        <v>0</v>
      </c>
      <c r="Q15" s="74">
        <f t="shared" si="3"/>
        <v>0</v>
      </c>
      <c r="R15" s="74">
        <f t="shared" si="4"/>
        <v>1</v>
      </c>
      <c r="S15" s="74">
        <f t="shared" si="5"/>
        <v>0</v>
      </c>
      <c r="T15" s="74">
        <f t="shared" si="6"/>
        <v>0</v>
      </c>
      <c r="U15" s="74">
        <f t="shared" si="7"/>
        <v>0</v>
      </c>
      <c r="V15" s="74">
        <f t="shared" si="8"/>
        <v>0</v>
      </c>
      <c r="W15" s="74">
        <f t="shared" si="9"/>
        <v>0</v>
      </c>
      <c r="X15" s="74" t="str">
        <f t="shared" si="10"/>
        <v/>
      </c>
      <c r="Y15" s="74">
        <f t="shared" si="11"/>
        <v>0</v>
      </c>
      <c r="Z15" s="74">
        <f>IF(Y15=1,COUNTIF($Y$6:Y15,1),0)</f>
        <v>0</v>
      </c>
      <c r="AA15" s="74" t="b">
        <f t="shared" si="12"/>
        <v>0</v>
      </c>
      <c r="AB15" s="26" t="s">
        <v>164</v>
      </c>
      <c r="AC15">
        <f t="shared" si="13"/>
        <v>0</v>
      </c>
    </row>
    <row r="16" spans="1:29" ht="48" customHeight="1" x14ac:dyDescent="0.35">
      <c r="A16" s="31" t="s">
        <v>165</v>
      </c>
      <c r="B16" s="32" t="s">
        <v>138</v>
      </c>
      <c r="C16" s="33" t="s">
        <v>138</v>
      </c>
      <c r="D16" s="35" t="s">
        <v>166</v>
      </c>
      <c r="E16" s="32" t="s">
        <v>167</v>
      </c>
      <c r="F16" s="32" t="s">
        <v>168</v>
      </c>
      <c r="G16" s="32" t="str">
        <f>"11.3 "&amp;INDEX('6. Standards'!$B$5:$B$21,MATCH("11.3",'6. Standards'!$A$5:$A$21,0))&amp;" — "&amp;"considerations"&amp;CHAR(10)&amp;"14.5 "&amp;INDEX('6. Standards'!$B$5:$B$21,MATCH("14.5",'6. Standards'!$A$5:$A$21,0))&amp;" — "&amp;"Requirements, scored on E1"</f>
        <v>11.3 Communicating Results — considerations
14.5 Engagement Conclusions — Requirements, scored on E1</v>
      </c>
      <c r="H16" s="32" t="str">
        <f>"See "&amp;INDEX($A$6:$A$47,MATCH("E1",$A$6:$A$47,0))&amp;". Standard 14.5 requires the conclusion to acknowledge effective processes. That judgment is scored on "&amp;INDEX($A$6:$A$47,MATCH("E1",$A$6:$A$47,0))&amp;", which is "&amp;IF(INDEX($I$6:$I$47,MATCH("E1",$A$6:$A$47,0))="","blank",INDEX($I$6:$I$47,MATCH("E1",$A$6:$A$47,0)))&amp;". This line scores the narrative."</f>
        <v>See E1. Standard 14.5 requires the conclusion to acknowledge effective processes. That judgment is scored on E1, which is blank. This line scores the narrative.</v>
      </c>
      <c r="I16" s="77"/>
      <c r="J16" s="77"/>
      <c r="K16" s="77"/>
      <c r="L16" s="33" t="s">
        <v>126</v>
      </c>
      <c r="M16" s="33" t="s">
        <v>126</v>
      </c>
      <c r="N16" s="73">
        <f t="shared" si="0"/>
        <v>0</v>
      </c>
      <c r="O16" s="73">
        <f t="shared" si="1"/>
        <v>0</v>
      </c>
      <c r="P16" s="74">
        <f t="shared" si="2"/>
        <v>0</v>
      </c>
      <c r="Q16" s="74">
        <f t="shared" si="3"/>
        <v>0</v>
      </c>
      <c r="R16" s="74">
        <f t="shared" si="4"/>
        <v>0</v>
      </c>
      <c r="S16" s="74">
        <f t="shared" si="5"/>
        <v>0</v>
      </c>
      <c r="T16" s="74">
        <f t="shared" si="6"/>
        <v>0</v>
      </c>
      <c r="U16" s="74">
        <f t="shared" si="7"/>
        <v>0</v>
      </c>
      <c r="V16" s="74">
        <f t="shared" si="8"/>
        <v>0</v>
      </c>
      <c r="W16" s="74">
        <f t="shared" si="9"/>
        <v>0</v>
      </c>
      <c r="X16" s="74" t="str">
        <f t="shared" si="10"/>
        <v/>
      </c>
      <c r="Y16" s="74">
        <f t="shared" si="11"/>
        <v>0</v>
      </c>
      <c r="Z16" s="74">
        <f>IF(Y16=1,COUNTIF($Y$6:Y16,1),0)</f>
        <v>0</v>
      </c>
      <c r="AA16" s="74" t="b">
        <f t="shared" si="12"/>
        <v>0</v>
      </c>
      <c r="AB16" s="26" t="s">
        <v>169</v>
      </c>
      <c r="AC16">
        <f t="shared" si="13"/>
        <v>0</v>
      </c>
    </row>
    <row r="17" spans="1:29" ht="48" customHeight="1" x14ac:dyDescent="0.35">
      <c r="A17" s="36" t="s">
        <v>170</v>
      </c>
      <c r="B17" s="37" t="s">
        <v>171</v>
      </c>
      <c r="C17" s="38" t="s">
        <v>122</v>
      </c>
      <c r="D17" s="39" t="s">
        <v>123</v>
      </c>
      <c r="E17" s="37" t="s">
        <v>172</v>
      </c>
      <c r="F17" s="37" t="s">
        <v>173</v>
      </c>
      <c r="G17" s="37" t="str">
        <f>"14.4 "&amp;INDEX('6. Standards'!$B$5:$B$21,MATCH("14.4",'6. Standards'!$A$5:$A$21,0))&amp;" — "&amp;INDEX('6. Standards'!$C$5:$C$21,MATCH("14.4",'6. Standards'!$A$5:$A$21,0))&amp;CHAR(10)&amp;"15.1 "&amp;INDEX('6. Standards'!$B$5:$B$21,MATCH("15.1",'6. Standards'!$A$5:$A$21,0))&amp;" — "&amp;INDEX('6. Standards'!$C$5:$C$21,MATCH("15.1",'6. Standards'!$A$5:$A$21,0))</f>
        <v>14.4 Recommendations and Action Plans — Requirements
15.1 Final Engagement Communication — Requirements</v>
      </c>
      <c r="H17" s="37" t="str">
        <f>IF(UPPER(TRIM(INDEX($I$6:$I$47,MATCH("C1",$A$6:$A$47,0))&amp;""))="N/A","Off. "&amp;INDEX($A$6:$A$47,MATCH("C1",$A$6:$A$47,0))&amp;" is N/A, so there are no findings and actions are not scored.","On while "&amp;INDEX($A$6:$A$47,MATCH("C1",$A$6:$A$47,0))&amp;" is scored. "&amp;INDEX($A$6:$A$47,MATCH("C1",$A$6:$A$47,0))&amp;" is "&amp;IF(INDEX($I$6:$I$47,MATCH("C1",$A$6:$A$47,0))="","blank",INDEX($I$6:$I$47,MATCH("C1",$A$6:$A$47,0)))&amp;".")&amp;IF(COUNTA('4. Findings'!A8:A27)=0,""," Findings sheet, action: "&amp;COUNTIF('4. Findings'!I$8:I$27,"Y")&amp;" Y, "&amp;COUNTIF('4. Findings'!I$8:I$27,"P")&amp;" P, "&amp;COUNTIF('4. Findings'!I$8:I$27,"N")&amp;" N.")</f>
        <v>On while C1 is scored. C1 is blank.</v>
      </c>
      <c r="I17" s="77"/>
      <c r="J17" s="77"/>
      <c r="K17" s="77"/>
      <c r="L17" s="38" t="s">
        <v>134</v>
      </c>
      <c r="M17" s="38" t="s">
        <v>126</v>
      </c>
      <c r="N17" s="73">
        <f t="shared" si="0"/>
        <v>0</v>
      </c>
      <c r="O17" s="73">
        <f t="shared" si="1"/>
        <v>0</v>
      </c>
      <c r="P17" s="74">
        <f t="shared" si="2"/>
        <v>0</v>
      </c>
      <c r="Q17" s="74">
        <f t="shared" si="3"/>
        <v>0</v>
      </c>
      <c r="R17" s="74">
        <f t="shared" si="4"/>
        <v>1</v>
      </c>
      <c r="S17" s="74">
        <f t="shared" si="5"/>
        <v>0</v>
      </c>
      <c r="T17" s="74">
        <f t="shared" si="6"/>
        <v>0</v>
      </c>
      <c r="U17" s="74">
        <f t="shared" si="7"/>
        <v>0</v>
      </c>
      <c r="V17" s="74">
        <f t="shared" si="8"/>
        <v>0</v>
      </c>
      <c r="W17" s="74">
        <f t="shared" si="9"/>
        <v>0</v>
      </c>
      <c r="X17" s="74" t="str">
        <f t="shared" si="10"/>
        <v/>
      </c>
      <c r="Y17" s="74">
        <f t="shared" si="11"/>
        <v>0</v>
      </c>
      <c r="Z17" s="74">
        <f>IF(Y17=1,COUNTIF($Y$6:Y17,1),0)</f>
        <v>0</v>
      </c>
      <c r="AA17" s="74" t="b">
        <f t="shared" si="12"/>
        <v>0</v>
      </c>
      <c r="AB17" s="26" t="s">
        <v>174</v>
      </c>
      <c r="AC17">
        <f t="shared" si="13"/>
        <v>0</v>
      </c>
    </row>
    <row r="18" spans="1:29" ht="48" customHeight="1" x14ac:dyDescent="0.35">
      <c r="A18" s="36" t="s">
        <v>175</v>
      </c>
      <c r="B18" s="37" t="s">
        <v>171</v>
      </c>
      <c r="C18" s="38" t="s">
        <v>122</v>
      </c>
      <c r="D18" s="39" t="s">
        <v>123</v>
      </c>
      <c r="E18" s="37" t="s">
        <v>176</v>
      </c>
      <c r="F18" s="37" t="s">
        <v>177</v>
      </c>
      <c r="G18" s="37" t="str">
        <f>"15.1 "&amp;INDEX('6. Standards'!$B$5:$B$21,MATCH("15.1",'6. Standards'!$A$5:$A$21,0))&amp;" — "&amp;INDEX('6. Standards'!$C$5:$C$21,MATCH("15.1",'6. Standards'!$A$5:$A$21,0))</f>
        <v>15.1 Final Engagement Communication — Requirements</v>
      </c>
      <c r="H18" s="37" t="str">
        <f>IF(UPPER(TRIM(INDEX($I$6:$I$47,MATCH("C1",$A$6:$A$47,0))&amp;""))="N/A","Off. "&amp;INDEX($A$6:$A$47,MATCH("C1",$A$6:$A$47,0))&amp;" is N/A, so there are no findings and actions are not scored.","On while "&amp;INDEX($A$6:$A$47,MATCH("C1",$A$6:$A$47,0))&amp;" is scored. "&amp;INDEX($A$6:$A$47,MATCH("C1",$A$6:$A$47,0))&amp;" is "&amp;IF(INDEX($I$6:$I$47,MATCH("C1",$A$6:$A$47,0))="","blank",INDEX($I$6:$I$47,MATCH("C1",$A$6:$A$47,0)))&amp;".")</f>
        <v>On while C1 is scored. C1 is blank.</v>
      </c>
      <c r="I18" s="77"/>
      <c r="J18" s="77"/>
      <c r="K18" s="77"/>
      <c r="L18" s="38" t="s">
        <v>126</v>
      </c>
      <c r="M18" s="38" t="s">
        <v>134</v>
      </c>
      <c r="N18" s="73">
        <f t="shared" si="0"/>
        <v>0</v>
      </c>
      <c r="O18" s="73">
        <f t="shared" si="1"/>
        <v>0</v>
      </c>
      <c r="P18" s="74">
        <f t="shared" si="2"/>
        <v>0</v>
      </c>
      <c r="Q18" s="74">
        <f t="shared" si="3"/>
        <v>0</v>
      </c>
      <c r="R18" s="74">
        <f t="shared" si="4"/>
        <v>1</v>
      </c>
      <c r="S18" s="74">
        <f t="shared" si="5"/>
        <v>0</v>
      </c>
      <c r="T18" s="74">
        <f t="shared" si="6"/>
        <v>0</v>
      </c>
      <c r="U18" s="74">
        <f t="shared" si="7"/>
        <v>0</v>
      </c>
      <c r="V18" s="74">
        <f t="shared" si="8"/>
        <v>0</v>
      </c>
      <c r="W18" s="74">
        <f t="shared" si="9"/>
        <v>0</v>
      </c>
      <c r="X18" s="74" t="str">
        <f t="shared" si="10"/>
        <v/>
      </c>
      <c r="Y18" s="74">
        <f t="shared" si="11"/>
        <v>0</v>
      </c>
      <c r="Z18" s="74">
        <f>IF(Y18=1,COUNTIF($Y$6:Y18,1),0)</f>
        <v>0</v>
      </c>
      <c r="AA18" s="74" t="b">
        <f t="shared" si="12"/>
        <v>0</v>
      </c>
      <c r="AB18" s="26" t="s">
        <v>178</v>
      </c>
      <c r="AC18">
        <f t="shared" si="13"/>
        <v>0</v>
      </c>
    </row>
    <row r="19" spans="1:29" ht="48" customHeight="1" x14ac:dyDescent="0.35">
      <c r="A19" s="36" t="s">
        <v>179</v>
      </c>
      <c r="B19" s="37" t="s">
        <v>171</v>
      </c>
      <c r="C19" s="38" t="s">
        <v>122</v>
      </c>
      <c r="D19" s="39" t="s">
        <v>123</v>
      </c>
      <c r="E19" s="37" t="s">
        <v>180</v>
      </c>
      <c r="F19" s="37" t="s">
        <v>181</v>
      </c>
      <c r="G19" s="37" t="str">
        <f>"15.1 "&amp;INDEX('6. Standards'!$B$5:$B$21,MATCH("15.1",'6. Standards'!$A$5:$A$21,0))&amp;" — "&amp;INDEX('6. Standards'!$C$5:$C$21,MATCH("15.1",'6. Standards'!$A$5:$A$21,0))</f>
        <v>15.1 Final Engagement Communication — Requirements</v>
      </c>
      <c r="H19" s="37" t="str">
        <f>IF(UPPER(TRIM(INDEX($I$6:$I$47,MATCH("C1",$A$6:$A$47,0))&amp;""))="N/A","Off. "&amp;INDEX($A$6:$A$47,MATCH("C1",$A$6:$A$47,0))&amp;" is N/A, so there are no findings and actions are not scored.","On while "&amp;INDEX($A$6:$A$47,MATCH("C1",$A$6:$A$47,0))&amp;" is scored. "&amp;INDEX($A$6:$A$47,MATCH("C1",$A$6:$A$47,0))&amp;" is "&amp;IF(INDEX($I$6:$I$47,MATCH("C1",$A$6:$A$47,0))="","blank",INDEX($I$6:$I$47,MATCH("C1",$A$6:$A$47,0)))&amp;".")&amp;" Not tested on the same grounds as "&amp;INDEX($A$6:$A$47,MATCH("D2",$A$6:$A$47,0))&amp;"."</f>
        <v>On while C1 is scored. C1 is blank. Not tested on the same grounds as D2.</v>
      </c>
      <c r="I19" s="77"/>
      <c r="J19" s="77"/>
      <c r="K19" s="77"/>
      <c r="L19" s="38" t="s">
        <v>126</v>
      </c>
      <c r="M19" s="38" t="s">
        <v>134</v>
      </c>
      <c r="N19" s="73">
        <f t="shared" si="0"/>
        <v>0</v>
      </c>
      <c r="O19" s="73">
        <f t="shared" si="1"/>
        <v>0</v>
      </c>
      <c r="P19" s="74">
        <f t="shared" si="2"/>
        <v>0</v>
      </c>
      <c r="Q19" s="74">
        <f t="shared" si="3"/>
        <v>0</v>
      </c>
      <c r="R19" s="74">
        <f t="shared" si="4"/>
        <v>1</v>
      </c>
      <c r="S19" s="74">
        <f t="shared" si="5"/>
        <v>0</v>
      </c>
      <c r="T19" s="74">
        <f t="shared" si="6"/>
        <v>0</v>
      </c>
      <c r="U19" s="74">
        <f t="shared" si="7"/>
        <v>0</v>
      </c>
      <c r="V19" s="74">
        <f t="shared" si="8"/>
        <v>0</v>
      </c>
      <c r="W19" s="74">
        <f t="shared" si="9"/>
        <v>0</v>
      </c>
      <c r="X19" s="74" t="str">
        <f t="shared" si="10"/>
        <v/>
      </c>
      <c r="Y19" s="74">
        <f t="shared" si="11"/>
        <v>0</v>
      </c>
      <c r="Z19" s="74">
        <f>IF(Y19=1,COUNTIF($Y$6:Y19,1),0)</f>
        <v>0</v>
      </c>
      <c r="AA19" s="74" t="b">
        <f t="shared" si="12"/>
        <v>0</v>
      </c>
      <c r="AB19" s="26" t="s">
        <v>178</v>
      </c>
      <c r="AC19">
        <f t="shared" si="13"/>
        <v>0</v>
      </c>
    </row>
    <row r="20" spans="1:29" ht="48" customHeight="1" x14ac:dyDescent="0.35">
      <c r="A20" s="36" t="s">
        <v>182</v>
      </c>
      <c r="B20" s="37" t="s">
        <v>171</v>
      </c>
      <c r="C20" s="38" t="s">
        <v>122</v>
      </c>
      <c r="D20" s="39" t="s">
        <v>123</v>
      </c>
      <c r="E20" s="37" t="s">
        <v>183</v>
      </c>
      <c r="F20" s="37" t="s">
        <v>184</v>
      </c>
      <c r="G20" s="37" t="str">
        <f>"15.1 "&amp;INDEX('6. Standards'!$B$5:$B$21,MATCH("15.1",'6. Standards'!$A$5:$A$21,0))&amp;" — "&amp;INDEX('6. Standards'!$C$5:$C$21,MATCH("15.1",'6. Standards'!$A$5:$A$21,0))</f>
        <v>15.1 Final Engagement Communication — Requirements</v>
      </c>
      <c r="H20" s="37" t="str">
        <f>IF(UPPER(TRIM(INDEX($I$6:$I$47,MATCH("C1",$A$6:$A$47,0))&amp;""))="N/A","Off. "&amp;INDEX($A$6:$A$47,MATCH("C1",$A$6:$A$47,0))&amp;" is N/A, so there are no findings and actions are not scored.","On while "&amp;INDEX($A$6:$A$47,MATCH("C1",$A$6:$A$47,0))&amp;" is scored. "&amp;INDEX($A$6:$A$47,MATCH("C1",$A$6:$A$47,0))&amp;" is "&amp;IF(INDEX($I$6:$I$47,MATCH("C1",$A$6:$A$47,0))="","blank",INDEX($I$6:$I$47,MATCH("C1",$A$6:$A$47,0)))&amp;".")</f>
        <v>On while C1 is scored. C1 is blank.</v>
      </c>
      <c r="I20" s="77"/>
      <c r="J20" s="77"/>
      <c r="K20" s="77"/>
      <c r="L20" s="38" t="s">
        <v>134</v>
      </c>
      <c r="M20" s="38" t="s">
        <v>126</v>
      </c>
      <c r="N20" s="73">
        <f t="shared" si="0"/>
        <v>0</v>
      </c>
      <c r="O20" s="73">
        <f t="shared" si="1"/>
        <v>0</v>
      </c>
      <c r="P20" s="74">
        <f t="shared" si="2"/>
        <v>0</v>
      </c>
      <c r="Q20" s="74">
        <f t="shared" si="3"/>
        <v>0</v>
      </c>
      <c r="R20" s="74">
        <f t="shared" si="4"/>
        <v>1</v>
      </c>
      <c r="S20" s="74">
        <f t="shared" si="5"/>
        <v>0</v>
      </c>
      <c r="T20" s="74">
        <f t="shared" si="6"/>
        <v>0</v>
      </c>
      <c r="U20" s="74">
        <f t="shared" si="7"/>
        <v>0</v>
      </c>
      <c r="V20" s="74">
        <f t="shared" si="8"/>
        <v>0</v>
      </c>
      <c r="W20" s="74">
        <f t="shared" si="9"/>
        <v>0</v>
      </c>
      <c r="X20" s="74" t="str">
        <f t="shared" si="10"/>
        <v/>
      </c>
      <c r="Y20" s="74">
        <f t="shared" si="11"/>
        <v>0</v>
      </c>
      <c r="Z20" s="74">
        <f>IF(Y20=1,COUNTIF($Y$6:Y20,1),0)</f>
        <v>0</v>
      </c>
      <c r="AA20" s="74" t="b">
        <f t="shared" si="12"/>
        <v>0</v>
      </c>
      <c r="AB20" s="26" t="s">
        <v>178</v>
      </c>
      <c r="AC20">
        <f t="shared" si="13"/>
        <v>0</v>
      </c>
    </row>
    <row r="21" spans="1:29" ht="48" customHeight="1" x14ac:dyDescent="0.35">
      <c r="A21" s="36" t="s">
        <v>185</v>
      </c>
      <c r="B21" s="37" t="s">
        <v>171</v>
      </c>
      <c r="C21" s="38" t="s">
        <v>122</v>
      </c>
      <c r="D21" s="40" t="s">
        <v>166</v>
      </c>
      <c r="E21" s="37" t="s">
        <v>186</v>
      </c>
      <c r="F21" s="37" t="s">
        <v>187</v>
      </c>
      <c r="G21" s="37" t="str">
        <f>"14.4 "&amp;INDEX('6. Standards'!$B$5:$B$21,MATCH("14.4",'6. Standards'!$A$5:$A$21,0))&amp;" — "&amp;"Requirements and considerations, scored as Should"&amp;CHAR(10)&amp;"13.1 "&amp;INDEX('6. Standards'!$B$5:$B$21,MATCH("13.1",'6. Standards'!$A$5:$A$21,0))&amp;" — "&amp;"Requirements, scored as Should"</f>
        <v>14.4 Recommendations and Action Plans — Requirements and considerations, scored as Should
13.1 Engagement Communication — Requirements, scored as Should</v>
      </c>
      <c r="H21" s="37" t="str">
        <f>IF(UPPER(TRIM(INDEX($I$6:$I$47,MATCH("C1",$A$6:$A$47,0))&amp;""))="N/A","Off. "&amp;INDEX($A$6:$A$47,MATCH("C1",$A$6:$A$47,0))&amp;" is N/A, so there are no findings and actions are not scored.","On while "&amp;INDEX($A$6:$A$47,MATCH("C1",$A$6:$A$47,0))&amp;" is scored. "&amp;INDEX($A$6:$A$47,MATCH("C1",$A$6:$A$47,0))&amp;" is "&amp;IF(INDEX($I$6:$I$47,MATCH("C1",$A$6:$A$47,0))="","blank",INDEX($I$6:$I$47,MATCH("C1",$A$6:$A$47,0)))&amp;".")</f>
        <v>On while C1 is scored. C1 is blank.</v>
      </c>
      <c r="I21" s="77"/>
      <c r="J21" s="77"/>
      <c r="K21" s="77"/>
      <c r="L21" s="38" t="s">
        <v>126</v>
      </c>
      <c r="M21" s="38" t="s">
        <v>126</v>
      </c>
      <c r="N21" s="73">
        <f t="shared" si="0"/>
        <v>0</v>
      </c>
      <c r="O21" s="73">
        <f t="shared" si="1"/>
        <v>0</v>
      </c>
      <c r="P21" s="74">
        <f t="shared" si="2"/>
        <v>0</v>
      </c>
      <c r="Q21" s="74">
        <f t="shared" si="3"/>
        <v>0</v>
      </c>
      <c r="R21" s="74">
        <f t="shared" si="4"/>
        <v>0</v>
      </c>
      <c r="S21" s="74">
        <f t="shared" si="5"/>
        <v>0</v>
      </c>
      <c r="T21" s="74">
        <f t="shared" si="6"/>
        <v>0</v>
      </c>
      <c r="U21" s="74">
        <f t="shared" si="7"/>
        <v>0</v>
      </c>
      <c r="V21" s="74">
        <f t="shared" si="8"/>
        <v>0</v>
      </c>
      <c r="W21" s="74">
        <f t="shared" si="9"/>
        <v>0</v>
      </c>
      <c r="X21" s="74" t="str">
        <f t="shared" si="10"/>
        <v/>
      </c>
      <c r="Y21" s="74">
        <f t="shared" si="11"/>
        <v>0</v>
      </c>
      <c r="Z21" s="74">
        <f>IF(Y21=1,COUNTIF($Y$6:Y21,1),0)</f>
        <v>0</v>
      </c>
      <c r="AA21" s="74" t="b">
        <f t="shared" si="12"/>
        <v>0</v>
      </c>
      <c r="AB21" s="26" t="s">
        <v>188</v>
      </c>
      <c r="AC21">
        <f t="shared" si="13"/>
        <v>0</v>
      </c>
    </row>
    <row r="22" spans="1:29" ht="48" customHeight="1" x14ac:dyDescent="0.35">
      <c r="A22" s="41" t="s">
        <v>189</v>
      </c>
      <c r="B22" s="42" t="s">
        <v>190</v>
      </c>
      <c r="C22" s="43" t="s">
        <v>122</v>
      </c>
      <c r="D22" s="44" t="s">
        <v>123</v>
      </c>
      <c r="E22" s="42" t="s">
        <v>191</v>
      </c>
      <c r="F22" s="42" t="s">
        <v>192</v>
      </c>
      <c r="G22" s="42" t="str">
        <f>"14.5 "&amp;INDEX('6. Standards'!$B$5:$B$21,MATCH("14.5",'6. Standards'!$A$5:$A$21,0))&amp;" — "&amp;INDEX('6. Standards'!$C$5:$C$21,MATCH("14.5",'6. Standards'!$A$5:$A$21,0))&amp;CHAR(10)&amp;"15.1 "&amp;INDEX('6. Standards'!$B$5:$B$21,MATCH("15.1",'6. Standards'!$A$5:$A$21,0))&amp;" — "&amp;INDEX('6. Standards'!$C$5:$C$21,MATCH("15.1",'6. Standards'!$A$5:$A$21,0))</f>
        <v>14.5 Engagement Conclusions — Requirements
15.1 Final Engagement Communication — Requirements</v>
      </c>
      <c r="H22" s="42" t="str">
        <f>"No other line switches this off."</f>
        <v>No other line switches this off.</v>
      </c>
      <c r="I22" s="77"/>
      <c r="J22" s="77"/>
      <c r="K22" s="77"/>
      <c r="L22" s="43" t="s">
        <v>126</v>
      </c>
      <c r="M22" s="43" t="s">
        <v>126</v>
      </c>
      <c r="N22" s="73">
        <f t="shared" si="0"/>
        <v>0</v>
      </c>
      <c r="O22" s="73">
        <f t="shared" si="1"/>
        <v>0</v>
      </c>
      <c r="P22" s="74">
        <f t="shared" si="2"/>
        <v>0</v>
      </c>
      <c r="Q22" s="74">
        <f t="shared" si="3"/>
        <v>0</v>
      </c>
      <c r="R22" s="74">
        <f t="shared" si="4"/>
        <v>1</v>
      </c>
      <c r="S22" s="74">
        <f t="shared" si="5"/>
        <v>0</v>
      </c>
      <c r="T22" s="74">
        <f t="shared" si="6"/>
        <v>0</v>
      </c>
      <c r="U22" s="74">
        <f t="shared" si="7"/>
        <v>0</v>
      </c>
      <c r="V22" s="74">
        <f t="shared" si="8"/>
        <v>0</v>
      </c>
      <c r="W22" s="74">
        <f t="shared" si="9"/>
        <v>0</v>
      </c>
      <c r="X22" s="74" t="str">
        <f t="shared" si="10"/>
        <v/>
      </c>
      <c r="Y22" s="74">
        <f t="shared" si="11"/>
        <v>0</v>
      </c>
      <c r="Z22" s="74">
        <f>IF(Y22=1,COUNTIF($Y$6:Y22,1),0)</f>
        <v>0</v>
      </c>
      <c r="AA22" s="74" t="b">
        <f t="shared" si="12"/>
        <v>0</v>
      </c>
      <c r="AB22" s="26" t="s">
        <v>193</v>
      </c>
      <c r="AC22">
        <f t="shared" si="13"/>
        <v>0</v>
      </c>
    </row>
    <row r="23" spans="1:29" ht="48" customHeight="1" x14ac:dyDescent="0.35">
      <c r="A23" s="41" t="s">
        <v>194</v>
      </c>
      <c r="B23" s="42" t="s">
        <v>190</v>
      </c>
      <c r="C23" s="43" t="s">
        <v>122</v>
      </c>
      <c r="D23" s="44" t="s">
        <v>123</v>
      </c>
      <c r="E23" s="42" t="s">
        <v>195</v>
      </c>
      <c r="F23" s="42" t="s">
        <v>196</v>
      </c>
      <c r="G23" s="42" t="str">
        <f>"14.5 "&amp;INDEX('6. Standards'!$B$5:$B$21,MATCH("14.5",'6. Standards'!$A$5:$A$21,0))&amp;" — "&amp;INDEX('6. Standards'!$C$5:$C$21,MATCH("14.5",'6. Standards'!$A$5:$A$21,0))</f>
        <v>14.5 Engagement Conclusions — Requirements</v>
      </c>
      <c r="H23" s="42" t="str">
        <f>IF(OR(INDEX($I$6:$I$47,MATCH("E1",$A$6:$A$47,0))=0,INDEX($I$6:$I$47,MATCH("E1",$A$6:$A$47,0))="0"),"Off. "&amp;INDEX($A$6:$A$47,MATCH("E1",$A$6:$A$47,0))&amp;" is 0, so the missing conclusion is not scored again.","On. If "&amp;INDEX($A$6:$A$47,MATCH("E1",$A$6:$A$47,0))&amp;" is 0, leave this line and the formula will switch it off. "&amp;INDEX($A$6:$A$47,MATCH("E1",$A$6:$A$47,0))&amp;" is "&amp;IF(INDEX($I$6:$I$47,MATCH("E1",$A$6:$A$47,0))="","blank",INDEX($I$6:$I$47,MATCH("E1",$A$6:$A$47,0)))&amp;".")</f>
        <v>Off. E1 is 0, so the missing conclusion is not scored again.</v>
      </c>
      <c r="I23" s="77"/>
      <c r="J23" s="77"/>
      <c r="K23" s="77"/>
      <c r="L23" s="43" t="s">
        <v>134</v>
      </c>
      <c r="M23" s="43" t="s">
        <v>126</v>
      </c>
      <c r="N23" s="73">
        <f t="shared" si="0"/>
        <v>0</v>
      </c>
      <c r="O23" s="73">
        <f t="shared" si="1"/>
        <v>0</v>
      </c>
      <c r="P23" s="74">
        <f t="shared" si="2"/>
        <v>0</v>
      </c>
      <c r="Q23" s="74">
        <f t="shared" si="3"/>
        <v>0</v>
      </c>
      <c r="R23" s="74">
        <f t="shared" si="4"/>
        <v>0</v>
      </c>
      <c r="S23" s="74">
        <f t="shared" si="5"/>
        <v>0</v>
      </c>
      <c r="T23" s="74">
        <f t="shared" si="6"/>
        <v>0</v>
      </c>
      <c r="U23" s="74">
        <f t="shared" si="7"/>
        <v>0</v>
      </c>
      <c r="V23" s="74">
        <f t="shared" si="8"/>
        <v>0</v>
      </c>
      <c r="W23" s="74">
        <f t="shared" si="9"/>
        <v>0</v>
      </c>
      <c r="X23" s="74" t="str">
        <f t="shared" si="10"/>
        <v/>
      </c>
      <c r="Y23" s="74">
        <f t="shared" si="11"/>
        <v>0</v>
      </c>
      <c r="Z23" s="74">
        <f>IF(Y23=1,COUNTIF($Y$6:Y23,1),0)</f>
        <v>0</v>
      </c>
      <c r="AA23" s="74" t="b">
        <f t="shared" si="12"/>
        <v>1</v>
      </c>
      <c r="AB23" s="26" t="s">
        <v>197</v>
      </c>
      <c r="AC23">
        <f t="shared" si="13"/>
        <v>0</v>
      </c>
    </row>
    <row r="24" spans="1:29" ht="48" customHeight="1" x14ac:dyDescent="0.35">
      <c r="A24" s="45" t="s">
        <v>198</v>
      </c>
      <c r="B24" s="46" t="s">
        <v>199</v>
      </c>
      <c r="C24" s="47" t="s">
        <v>122</v>
      </c>
      <c r="D24" s="48" t="s">
        <v>123</v>
      </c>
      <c r="E24" s="46" t="s">
        <v>200</v>
      </c>
      <c r="F24" s="46" t="s">
        <v>201</v>
      </c>
      <c r="G24" s="46" t="str">
        <f>"15.1 "&amp;INDEX('6. Standards'!$B$5:$B$21,MATCH("15.1",'6. Standards'!$A$5:$A$21,0))&amp;" — "&amp;INDEX('6. Standards'!$C$5:$C$21,MATCH("15.1",'6. Standards'!$A$5:$A$21,0))&amp;CHAR(10)&amp;"11.2 "&amp;INDEX('6. Standards'!$B$5:$B$21,MATCH("11.2",'6. Standards'!$A$5:$A$21,0))&amp;" — "&amp;INDEX('6. Standards'!$C$5:$C$21,MATCH("11.2",'6. Standards'!$A$5:$A$21,0))</f>
        <v>15.1 Final Engagement Communication — Requirements
11.2 Effective Communication — Requirements</v>
      </c>
      <c r="H24" s="46" t="str">
        <f>"No other line switches this off."</f>
        <v>No other line switches this off.</v>
      </c>
      <c r="I24" s="77"/>
      <c r="J24" s="77"/>
      <c r="K24" s="77"/>
      <c r="L24" s="47" t="s">
        <v>126</v>
      </c>
      <c r="M24" s="47" t="s">
        <v>126</v>
      </c>
      <c r="N24" s="73">
        <f t="shared" si="0"/>
        <v>0</v>
      </c>
      <c r="O24" s="73">
        <f t="shared" si="1"/>
        <v>0</v>
      </c>
      <c r="P24" s="74">
        <f t="shared" si="2"/>
        <v>0</v>
      </c>
      <c r="Q24" s="74">
        <f t="shared" si="3"/>
        <v>0</v>
      </c>
      <c r="R24" s="74">
        <f t="shared" si="4"/>
        <v>1</v>
      </c>
      <c r="S24" s="74">
        <f t="shared" si="5"/>
        <v>0</v>
      </c>
      <c r="T24" s="74">
        <f t="shared" si="6"/>
        <v>0</v>
      </c>
      <c r="U24" s="74">
        <f t="shared" si="7"/>
        <v>0</v>
      </c>
      <c r="V24" s="74">
        <f t="shared" si="8"/>
        <v>0</v>
      </c>
      <c r="W24" s="74">
        <f t="shared" si="9"/>
        <v>0</v>
      </c>
      <c r="X24" s="74" t="str">
        <f t="shared" si="10"/>
        <v/>
      </c>
      <c r="Y24" s="74">
        <f t="shared" si="11"/>
        <v>0</v>
      </c>
      <c r="Z24" s="74">
        <f>IF(Y24=1,COUNTIF($Y$6:Y24,1),0)</f>
        <v>0</v>
      </c>
      <c r="AA24" s="74" t="b">
        <f t="shared" si="12"/>
        <v>0</v>
      </c>
      <c r="AB24" s="26" t="s">
        <v>202</v>
      </c>
      <c r="AC24">
        <f t="shared" si="13"/>
        <v>0</v>
      </c>
    </row>
    <row r="25" spans="1:29" ht="48" customHeight="1" x14ac:dyDescent="0.35">
      <c r="A25" s="45" t="s">
        <v>203</v>
      </c>
      <c r="B25" s="46" t="s">
        <v>199</v>
      </c>
      <c r="C25" s="47" t="s">
        <v>122</v>
      </c>
      <c r="D25" s="48" t="s">
        <v>123</v>
      </c>
      <c r="E25" s="46" t="s">
        <v>204</v>
      </c>
      <c r="F25" s="46" t="s">
        <v>205</v>
      </c>
      <c r="G25" s="46" t="str">
        <f>"15.1 "&amp;INDEX('6. Standards'!$B$5:$B$21,MATCH("15.1",'6. Standards'!$A$5:$A$21,0))&amp;" — "&amp;INDEX('6. Standards'!$C$5:$C$21,MATCH("15.1",'6. Standards'!$A$5:$A$21,0))&amp;CHAR(10)&amp;"11.2 "&amp;INDEX('6. Standards'!$B$5:$B$21,MATCH("11.2",'6. Standards'!$A$5:$A$21,0))&amp;" — "&amp;INDEX('6. Standards'!$C$5:$C$21,MATCH("11.2",'6. Standards'!$A$5:$A$21,0))&amp;CHAR(10)&amp;"P2 "&amp;INDEX('6. Standards'!$B$5:$B$21,MATCH("P2",'6. Standards'!$A$5:$A$21,0))&amp;" — "&amp;INDEX('6. Standards'!$C$5:$C$21,MATCH("P2",'6. Standards'!$A$5:$A$21,0))</f>
        <v>15.1 Final Engagement Communication — Requirements
11.2 Effective Communication — Requirements
P2 Principle 2 Maintain Objectivity — Principle</v>
      </c>
      <c r="H25" s="46" t="str">
        <f>"No other line switches this off."</f>
        <v>No other line switches this off.</v>
      </c>
      <c r="I25" s="77"/>
      <c r="J25" s="77"/>
      <c r="K25" s="77"/>
      <c r="L25" s="47" t="s">
        <v>126</v>
      </c>
      <c r="M25" s="47" t="s">
        <v>126</v>
      </c>
      <c r="N25" s="73">
        <f t="shared" si="0"/>
        <v>0</v>
      </c>
      <c r="O25" s="73">
        <f t="shared" si="1"/>
        <v>0</v>
      </c>
      <c r="P25" s="74">
        <f t="shared" si="2"/>
        <v>0</v>
      </c>
      <c r="Q25" s="74">
        <f t="shared" si="3"/>
        <v>0</v>
      </c>
      <c r="R25" s="74">
        <f t="shared" si="4"/>
        <v>1</v>
      </c>
      <c r="S25" s="74">
        <f t="shared" si="5"/>
        <v>0</v>
      </c>
      <c r="T25" s="74">
        <f t="shared" si="6"/>
        <v>0</v>
      </c>
      <c r="U25" s="74">
        <f t="shared" si="7"/>
        <v>0</v>
      </c>
      <c r="V25" s="74">
        <f t="shared" si="8"/>
        <v>0</v>
      </c>
      <c r="W25" s="74">
        <f t="shared" si="9"/>
        <v>0</v>
      </c>
      <c r="X25" s="74" t="str">
        <f t="shared" si="10"/>
        <v/>
      </c>
      <c r="Y25" s="74">
        <f t="shared" si="11"/>
        <v>0</v>
      </c>
      <c r="Z25" s="74">
        <f>IF(Y25=1,COUNTIF($Y$6:Y25,1),0)</f>
        <v>0</v>
      </c>
      <c r="AA25" s="74" t="b">
        <f t="shared" si="12"/>
        <v>0</v>
      </c>
      <c r="AB25" s="26" t="s">
        <v>206</v>
      </c>
      <c r="AC25">
        <f t="shared" si="13"/>
        <v>0</v>
      </c>
    </row>
    <row r="26" spans="1:29" ht="48" customHeight="1" x14ac:dyDescent="0.35">
      <c r="A26" s="45" t="s">
        <v>207</v>
      </c>
      <c r="B26" s="46" t="s">
        <v>199</v>
      </c>
      <c r="C26" s="47" t="s">
        <v>122</v>
      </c>
      <c r="D26" s="48" t="s">
        <v>123</v>
      </c>
      <c r="E26" s="46" t="s">
        <v>208</v>
      </c>
      <c r="F26" s="46" t="s">
        <v>209</v>
      </c>
      <c r="G26" s="46" t="str">
        <f>"15.1 "&amp;INDEX('6. Standards'!$B$5:$B$21,MATCH("15.1",'6. Standards'!$A$5:$A$21,0))&amp;" — "&amp;INDEX('6. Standards'!$C$5:$C$21,MATCH("15.1",'6. Standards'!$A$5:$A$21,0))&amp;CHAR(10)&amp;"11.2 "&amp;INDEX('6. Standards'!$B$5:$B$21,MATCH("11.2",'6. Standards'!$A$5:$A$21,0))&amp;" — "&amp;INDEX('6. Standards'!$C$5:$C$21,MATCH("11.2",'6. Standards'!$A$5:$A$21,0))</f>
        <v>15.1 Final Engagement Communication — Requirements
11.2 Effective Communication — Requirements</v>
      </c>
      <c r="H26" s="46" t="str">
        <f>"No other line switches this off."</f>
        <v>No other line switches this off.</v>
      </c>
      <c r="I26" s="77"/>
      <c r="J26" s="77"/>
      <c r="K26" s="77"/>
      <c r="L26" s="47" t="s">
        <v>126</v>
      </c>
      <c r="M26" s="47" t="s">
        <v>126</v>
      </c>
      <c r="N26" s="73">
        <f t="shared" si="0"/>
        <v>0</v>
      </c>
      <c r="O26" s="73">
        <f t="shared" si="1"/>
        <v>0</v>
      </c>
      <c r="P26" s="74">
        <f t="shared" si="2"/>
        <v>0</v>
      </c>
      <c r="Q26" s="74">
        <f t="shared" si="3"/>
        <v>0</v>
      </c>
      <c r="R26" s="74">
        <f t="shared" si="4"/>
        <v>1</v>
      </c>
      <c r="S26" s="74">
        <f t="shared" si="5"/>
        <v>0</v>
      </c>
      <c r="T26" s="74">
        <f t="shared" si="6"/>
        <v>0</v>
      </c>
      <c r="U26" s="74">
        <f t="shared" si="7"/>
        <v>0</v>
      </c>
      <c r="V26" s="74">
        <f t="shared" si="8"/>
        <v>0</v>
      </c>
      <c r="W26" s="74">
        <f t="shared" si="9"/>
        <v>0</v>
      </c>
      <c r="X26" s="74" t="str">
        <f t="shared" si="10"/>
        <v/>
      </c>
      <c r="Y26" s="74">
        <f t="shared" si="11"/>
        <v>0</v>
      </c>
      <c r="Z26" s="74">
        <f>IF(Y26=1,COUNTIF($Y$6:Y26,1),0)</f>
        <v>0</v>
      </c>
      <c r="AA26" s="74" t="b">
        <f t="shared" si="12"/>
        <v>0</v>
      </c>
      <c r="AB26" s="26" t="s">
        <v>202</v>
      </c>
      <c r="AC26">
        <f t="shared" si="13"/>
        <v>0</v>
      </c>
    </row>
    <row r="27" spans="1:29" ht="48" customHeight="1" x14ac:dyDescent="0.35">
      <c r="A27" s="45" t="s">
        <v>210</v>
      </c>
      <c r="B27" s="46" t="s">
        <v>199</v>
      </c>
      <c r="C27" s="47" t="s">
        <v>122</v>
      </c>
      <c r="D27" s="48" t="s">
        <v>123</v>
      </c>
      <c r="E27" s="46" t="s">
        <v>211</v>
      </c>
      <c r="F27" s="46" t="s">
        <v>212</v>
      </c>
      <c r="G27" s="46" t="str">
        <f>"15.1 "&amp;INDEX('6. Standards'!$B$5:$B$21,MATCH("15.1",'6. Standards'!$A$5:$A$21,0))&amp;" — "&amp;INDEX('6. Standards'!$C$5:$C$21,MATCH("15.1",'6. Standards'!$A$5:$A$21,0))&amp;CHAR(10)&amp;"11.2 "&amp;INDEX('6. Standards'!$B$5:$B$21,MATCH("11.2",'6. Standards'!$A$5:$A$21,0))&amp;" — "&amp;INDEX('6. Standards'!$C$5:$C$21,MATCH("11.2",'6. Standards'!$A$5:$A$21,0))</f>
        <v>15.1 Final Engagement Communication — Requirements
11.2 Effective Communication — Requirements</v>
      </c>
      <c r="H27" s="46" t="str">
        <f>"No other line switches this off."</f>
        <v>No other line switches this off.</v>
      </c>
      <c r="I27" s="77"/>
      <c r="J27" s="77"/>
      <c r="K27" s="77"/>
      <c r="L27" s="47" t="s">
        <v>126</v>
      </c>
      <c r="M27" s="47" t="s">
        <v>126</v>
      </c>
      <c r="N27" s="73">
        <f t="shared" si="0"/>
        <v>0</v>
      </c>
      <c r="O27" s="73">
        <f t="shared" si="1"/>
        <v>0</v>
      </c>
      <c r="P27" s="74">
        <f t="shared" si="2"/>
        <v>0</v>
      </c>
      <c r="Q27" s="74">
        <f t="shared" si="3"/>
        <v>0</v>
      </c>
      <c r="R27" s="74">
        <f t="shared" si="4"/>
        <v>1</v>
      </c>
      <c r="S27" s="74">
        <f t="shared" si="5"/>
        <v>0</v>
      </c>
      <c r="T27" s="74">
        <f t="shared" si="6"/>
        <v>0</v>
      </c>
      <c r="U27" s="74">
        <f t="shared" si="7"/>
        <v>0</v>
      </c>
      <c r="V27" s="74">
        <f t="shared" si="8"/>
        <v>0</v>
      </c>
      <c r="W27" s="74">
        <f t="shared" si="9"/>
        <v>0</v>
      </c>
      <c r="X27" s="74" t="str">
        <f t="shared" si="10"/>
        <v/>
      </c>
      <c r="Y27" s="74">
        <f t="shared" si="11"/>
        <v>0</v>
      </c>
      <c r="Z27" s="74">
        <f>IF(Y27=1,COUNTIF($Y$6:Y27,1),0)</f>
        <v>0</v>
      </c>
      <c r="AA27" s="74" t="b">
        <f t="shared" si="12"/>
        <v>0</v>
      </c>
      <c r="AB27" s="26" t="s">
        <v>202</v>
      </c>
      <c r="AC27">
        <f t="shared" si="13"/>
        <v>0</v>
      </c>
    </row>
    <row r="28" spans="1:29" ht="48" customHeight="1" x14ac:dyDescent="0.35">
      <c r="A28" s="45" t="s">
        <v>213</v>
      </c>
      <c r="B28" s="46" t="s">
        <v>199</v>
      </c>
      <c r="C28" s="47" t="s">
        <v>122</v>
      </c>
      <c r="D28" s="48" t="s">
        <v>123</v>
      </c>
      <c r="E28" s="46" t="s">
        <v>214</v>
      </c>
      <c r="F28" s="46" t="s">
        <v>215</v>
      </c>
      <c r="G28" s="46" t="str">
        <f>"15.1 "&amp;INDEX('6. Standards'!$B$5:$B$21,MATCH("15.1",'6. Standards'!$A$5:$A$21,0))&amp;" — "&amp;INDEX('6. Standards'!$C$5:$C$21,MATCH("15.1",'6. Standards'!$A$5:$A$21,0))&amp;CHAR(10)&amp;"11.2 "&amp;INDEX('6. Standards'!$B$5:$B$21,MATCH("11.2",'6. Standards'!$A$5:$A$21,0))&amp;" — "&amp;INDEX('6. Standards'!$C$5:$C$21,MATCH("11.2",'6. Standards'!$A$5:$A$21,0))</f>
        <v>15.1 Final Engagement Communication — Requirements
11.2 Effective Communication — Requirements</v>
      </c>
      <c r="H28" s="46" t="str">
        <f>"No other line switches this off."</f>
        <v>No other line switches this off.</v>
      </c>
      <c r="I28" s="77"/>
      <c r="J28" s="77"/>
      <c r="K28" s="77"/>
      <c r="L28" s="47" t="s">
        <v>126</v>
      </c>
      <c r="M28" s="47" t="s">
        <v>126</v>
      </c>
      <c r="N28" s="73">
        <f t="shared" si="0"/>
        <v>0</v>
      </c>
      <c r="O28" s="73">
        <f t="shared" si="1"/>
        <v>0</v>
      </c>
      <c r="P28" s="74">
        <f t="shared" si="2"/>
        <v>0</v>
      </c>
      <c r="Q28" s="74">
        <f t="shared" si="3"/>
        <v>0</v>
      </c>
      <c r="R28" s="74">
        <f t="shared" si="4"/>
        <v>1</v>
      </c>
      <c r="S28" s="74">
        <f t="shared" si="5"/>
        <v>0</v>
      </c>
      <c r="T28" s="74">
        <f t="shared" si="6"/>
        <v>0</v>
      </c>
      <c r="U28" s="74">
        <f t="shared" si="7"/>
        <v>0</v>
      </c>
      <c r="V28" s="74">
        <f t="shared" si="8"/>
        <v>0</v>
      </c>
      <c r="W28" s="74">
        <f t="shared" si="9"/>
        <v>0</v>
      </c>
      <c r="X28" s="74" t="str">
        <f t="shared" si="10"/>
        <v/>
      </c>
      <c r="Y28" s="74">
        <f t="shared" si="11"/>
        <v>0</v>
      </c>
      <c r="Z28" s="74">
        <f>IF(Y28=1,COUNTIF($Y$6:Y28,1),0)</f>
        <v>0</v>
      </c>
      <c r="AA28" s="74" t="b">
        <f t="shared" si="12"/>
        <v>0</v>
      </c>
      <c r="AB28" s="26" t="s">
        <v>202</v>
      </c>
      <c r="AC28">
        <f t="shared" si="13"/>
        <v>0</v>
      </c>
    </row>
    <row r="29" spans="1:29" ht="48" customHeight="1" x14ac:dyDescent="0.35">
      <c r="A29" s="45" t="s">
        <v>216</v>
      </c>
      <c r="B29" s="46" t="s">
        <v>199</v>
      </c>
      <c r="C29" s="47" t="s">
        <v>122</v>
      </c>
      <c r="D29" s="48" t="s">
        <v>123</v>
      </c>
      <c r="E29" s="46" t="s">
        <v>217</v>
      </c>
      <c r="F29" s="46" t="s">
        <v>218</v>
      </c>
      <c r="G29" s="46" t="str">
        <f>"15.1 "&amp;INDEX('6. Standards'!$B$5:$B$21,MATCH("15.1",'6. Standards'!$A$5:$A$21,0))&amp;" — "&amp;INDEX('6. Standards'!$C$5:$C$21,MATCH("15.1",'6. Standards'!$A$5:$A$21,0))&amp;CHAR(10)&amp;"11.2 "&amp;INDEX('6. Standards'!$B$5:$B$21,MATCH("11.2",'6. Standards'!$A$5:$A$21,0))&amp;" — "&amp;INDEX('6. Standards'!$C$5:$C$21,MATCH("11.2",'6. Standards'!$A$5:$A$21,0))</f>
        <v>15.1 Final Engagement Communication — Requirements
11.2 Effective Communication — Requirements</v>
      </c>
      <c r="H29" s="46" t="str">
        <f>"Do not reduce this score only because "&amp;INDEX($A$6:$A$47,MATCH("E1",$A$6:$A$47,0))&amp;", "&amp;INDEX($A$6:$A$47,MATCH("D2",$A$6:$A$47,0))&amp;" or "&amp;INDEX($A$6:$A$47,MATCH("D3",$A$6:$A$47,0))&amp;" is already scored. Those lines are "&amp;IF(INDEX($I$6:$I$47,MATCH("E1",$A$6:$A$47,0))="","blank",INDEX($I$6:$I$47,MATCH("E1",$A$6:$A$47,0)))&amp;", "&amp;IF(INDEX($I$6:$I$47,MATCH("D2",$A$6:$A$47,0))="","blank",INDEX($I$6:$I$47,MATCH("D2",$A$6:$A$47,0)))&amp;" and "&amp;IF(INDEX($I$6:$I$47,MATCH("D3",$A$6:$A$47,0))="","blank",INDEX($I$6:$I$47,MATCH("D3",$A$6:$A$47,0)))&amp;"."</f>
        <v>Do not reduce this score only because E1, D2 or D3 is already scored. Those lines are blank, blank and blank.</v>
      </c>
      <c r="I29" s="77"/>
      <c r="J29" s="77"/>
      <c r="K29" s="77"/>
      <c r="L29" s="47" t="s">
        <v>126</v>
      </c>
      <c r="M29" s="47" t="s">
        <v>126</v>
      </c>
      <c r="N29" s="73">
        <f t="shared" si="0"/>
        <v>0</v>
      </c>
      <c r="O29" s="73">
        <f t="shared" si="1"/>
        <v>0</v>
      </c>
      <c r="P29" s="74">
        <f t="shared" si="2"/>
        <v>0</v>
      </c>
      <c r="Q29" s="74">
        <f t="shared" si="3"/>
        <v>0</v>
      </c>
      <c r="R29" s="74">
        <f t="shared" si="4"/>
        <v>1</v>
      </c>
      <c r="S29" s="74">
        <f t="shared" si="5"/>
        <v>0</v>
      </c>
      <c r="T29" s="74">
        <f t="shared" si="6"/>
        <v>0</v>
      </c>
      <c r="U29" s="74">
        <f t="shared" si="7"/>
        <v>0</v>
      </c>
      <c r="V29" s="74">
        <f t="shared" si="8"/>
        <v>0</v>
      </c>
      <c r="W29" s="74">
        <f t="shared" si="9"/>
        <v>0</v>
      </c>
      <c r="X29" s="74" t="str">
        <f t="shared" si="10"/>
        <v/>
      </c>
      <c r="Y29" s="74">
        <f t="shared" si="11"/>
        <v>0</v>
      </c>
      <c r="Z29" s="74">
        <f>IF(Y29=1,COUNTIF($Y$6:Y29,1),0)</f>
        <v>0</v>
      </c>
      <c r="AA29" s="74" t="b">
        <f t="shared" si="12"/>
        <v>0</v>
      </c>
      <c r="AB29" s="26" t="s">
        <v>202</v>
      </c>
      <c r="AC29">
        <f t="shared" si="13"/>
        <v>0</v>
      </c>
    </row>
    <row r="30" spans="1:29" ht="48" customHeight="1" x14ac:dyDescent="0.35">
      <c r="A30" s="45" t="s">
        <v>219</v>
      </c>
      <c r="B30" s="46" t="s">
        <v>199</v>
      </c>
      <c r="C30" s="47" t="s">
        <v>122</v>
      </c>
      <c r="D30" s="48" t="s">
        <v>123</v>
      </c>
      <c r="E30" s="46" t="s">
        <v>220</v>
      </c>
      <c r="F30" s="46" t="s">
        <v>221</v>
      </c>
      <c r="G30" s="46" t="str">
        <f>"15.1 "&amp;INDEX('6. Standards'!$B$5:$B$21,MATCH("15.1",'6. Standards'!$A$5:$A$21,0))&amp;" — "&amp;INDEX('6. Standards'!$C$5:$C$21,MATCH("15.1",'6. Standards'!$A$5:$A$21,0))&amp;CHAR(10)&amp;"11.2 "&amp;INDEX('6. Standards'!$B$5:$B$21,MATCH("11.2",'6. Standards'!$A$5:$A$21,0))&amp;" — "&amp;INDEX('6. Standards'!$C$5:$C$21,MATCH("11.2",'6. Standards'!$A$5:$A$21,0))</f>
        <v>15.1 Final Engagement Communication — Requirements
11.2 Effective Communication — Requirements</v>
      </c>
      <c r="H30" s="46" t="str">
        <f>"No other line switches this off."</f>
        <v>No other line switches this off.</v>
      </c>
      <c r="I30" s="77"/>
      <c r="J30" s="77"/>
      <c r="K30" s="77"/>
      <c r="L30" s="47" t="s">
        <v>126</v>
      </c>
      <c r="M30" s="47" t="s">
        <v>134</v>
      </c>
      <c r="N30" s="73">
        <f t="shared" si="0"/>
        <v>0</v>
      </c>
      <c r="O30" s="73">
        <f t="shared" si="1"/>
        <v>0</v>
      </c>
      <c r="P30" s="74">
        <f t="shared" si="2"/>
        <v>0</v>
      </c>
      <c r="Q30" s="74">
        <f t="shared" si="3"/>
        <v>0</v>
      </c>
      <c r="R30" s="74">
        <f t="shared" si="4"/>
        <v>1</v>
      </c>
      <c r="S30" s="74">
        <f t="shared" si="5"/>
        <v>0</v>
      </c>
      <c r="T30" s="74">
        <f t="shared" si="6"/>
        <v>0</v>
      </c>
      <c r="U30" s="74">
        <f t="shared" si="7"/>
        <v>0</v>
      </c>
      <c r="V30" s="74">
        <f t="shared" si="8"/>
        <v>0</v>
      </c>
      <c r="W30" s="74">
        <f t="shared" si="9"/>
        <v>0</v>
      </c>
      <c r="X30" s="74" t="str">
        <f t="shared" si="10"/>
        <v/>
      </c>
      <c r="Y30" s="74">
        <f t="shared" si="11"/>
        <v>0</v>
      </c>
      <c r="Z30" s="74">
        <f>IF(Y30=1,COUNTIF($Y$6:Y30,1),0)</f>
        <v>0</v>
      </c>
      <c r="AA30" s="74" t="b">
        <f t="shared" si="12"/>
        <v>0</v>
      </c>
      <c r="AB30" s="26" t="s">
        <v>202</v>
      </c>
      <c r="AC30">
        <f t="shared" si="13"/>
        <v>0</v>
      </c>
    </row>
    <row r="31" spans="1:29" ht="48" customHeight="1" x14ac:dyDescent="0.35">
      <c r="A31" s="49" t="s">
        <v>222</v>
      </c>
      <c r="B31" s="50" t="s">
        <v>223</v>
      </c>
      <c r="C31" s="51" t="s">
        <v>122</v>
      </c>
      <c r="D31" s="52" t="s">
        <v>123</v>
      </c>
      <c r="E31" s="50" t="s">
        <v>224</v>
      </c>
      <c r="F31" s="50" t="s">
        <v>225</v>
      </c>
      <c r="G31" s="50" t="str">
        <f>"15.1 "&amp;INDEX('6. Standards'!$B$5:$B$21,MATCH("15.1",'6. Standards'!$A$5:$A$21,0))&amp;" — "&amp;INDEX('6. Standards'!$C$5:$C$21,MATCH("15.1",'6. Standards'!$A$5:$A$21,0))&amp;CHAR(10)&amp;"11.3 "&amp;INDEX('6. Standards'!$B$5:$B$21,MATCH("11.3",'6. Standards'!$A$5:$A$21,0))&amp;" — "&amp;INDEX('6. Standards'!$C$5:$C$21,MATCH("11.3",'6. Standards'!$A$5:$A$21,0))</f>
        <v>15.1 Final Engagement Communication — Requirements
11.3 Communicating Results — Requirements</v>
      </c>
      <c r="H31" s="50" t="str">
        <f>"Standard 15.1. Status is "&amp;IF(DocStatus="","not set",DocStatus)&amp;". Evidence in this review is "&amp;IF(EvidenceInHand="","not set",EvidenceInHand)&amp;". Use Not tested when the page is silent."</f>
        <v>Standard 15.1. Status is not set. Evidence in this review is not set. Use Not tested when the page is silent.</v>
      </c>
      <c r="I31" s="77"/>
      <c r="J31" s="77"/>
      <c r="K31" s="77"/>
      <c r="L31" s="51" t="s">
        <v>126</v>
      </c>
      <c r="M31" s="51" t="s">
        <v>134</v>
      </c>
      <c r="N31" s="73">
        <f t="shared" si="0"/>
        <v>0</v>
      </c>
      <c r="O31" s="73">
        <f t="shared" si="1"/>
        <v>0</v>
      </c>
      <c r="P31" s="74">
        <f t="shared" si="2"/>
        <v>0</v>
      </c>
      <c r="Q31" s="74">
        <f t="shared" si="3"/>
        <v>0</v>
      </c>
      <c r="R31" s="74">
        <f t="shared" si="4"/>
        <v>1</v>
      </c>
      <c r="S31" s="74">
        <f t="shared" si="5"/>
        <v>0</v>
      </c>
      <c r="T31" s="74">
        <f t="shared" si="6"/>
        <v>0</v>
      </c>
      <c r="U31" s="74">
        <f t="shared" si="7"/>
        <v>0</v>
      </c>
      <c r="V31" s="74">
        <f t="shared" si="8"/>
        <v>0</v>
      </c>
      <c r="W31" s="74">
        <f t="shared" si="9"/>
        <v>0</v>
      </c>
      <c r="X31" s="74" t="str">
        <f t="shared" si="10"/>
        <v/>
      </c>
      <c r="Y31" s="74">
        <f t="shared" si="11"/>
        <v>0</v>
      </c>
      <c r="Z31" s="74">
        <f>IF(Y31=1,COUNTIF($Y$6:Y31,1),0)</f>
        <v>0</v>
      </c>
      <c r="AA31" s="74" t="b">
        <f t="shared" si="12"/>
        <v>0</v>
      </c>
      <c r="AB31" s="26" t="s">
        <v>226</v>
      </c>
      <c r="AC31">
        <f t="shared" si="13"/>
        <v>0</v>
      </c>
    </row>
    <row r="32" spans="1:29" ht="48" customHeight="1" x14ac:dyDescent="0.35">
      <c r="A32" s="49" t="s">
        <v>227</v>
      </c>
      <c r="B32" s="50" t="s">
        <v>223</v>
      </c>
      <c r="C32" s="51" t="s">
        <v>122</v>
      </c>
      <c r="D32" s="52" t="s">
        <v>123</v>
      </c>
      <c r="E32" s="50" t="s">
        <v>228</v>
      </c>
      <c r="F32" s="50" t="s">
        <v>229</v>
      </c>
      <c r="G32" s="50" t="str">
        <f>"15.1 "&amp;INDEX('6. Standards'!$B$5:$B$21,MATCH("15.1",'6. Standards'!$A$5:$A$21,0))&amp;" — "&amp;INDEX('6. Standards'!$C$5:$C$21,MATCH("15.1",'6. Standards'!$A$5:$A$21,0))&amp;CHAR(10)&amp;"11.3 "&amp;INDEX('6. Standards'!$B$5:$B$21,MATCH("11.3",'6. Standards'!$A$5:$A$21,0))&amp;" — "&amp;INDEX('6. Standards'!$C$5:$C$21,MATCH("11.3",'6. Standards'!$A$5:$A$21,0))</f>
        <v>15.1 Final Engagement Communication — Requirements
11.3 Communicating Results — Requirements</v>
      </c>
      <c r="H32" s="50" t="str">
        <f>"No other line switches this off."</f>
        <v>No other line switches this off.</v>
      </c>
      <c r="I32" s="77"/>
      <c r="J32" s="77"/>
      <c r="K32" s="77"/>
      <c r="L32" s="51" t="s">
        <v>126</v>
      </c>
      <c r="M32" s="51" t="s">
        <v>134</v>
      </c>
      <c r="N32" s="73">
        <f t="shared" si="0"/>
        <v>0</v>
      </c>
      <c r="O32" s="73">
        <f t="shared" si="1"/>
        <v>0</v>
      </c>
      <c r="P32" s="74">
        <f t="shared" si="2"/>
        <v>0</v>
      </c>
      <c r="Q32" s="74">
        <f t="shared" si="3"/>
        <v>0</v>
      </c>
      <c r="R32" s="74">
        <f t="shared" si="4"/>
        <v>1</v>
      </c>
      <c r="S32" s="74">
        <f t="shared" si="5"/>
        <v>0</v>
      </c>
      <c r="T32" s="74">
        <f t="shared" si="6"/>
        <v>0</v>
      </c>
      <c r="U32" s="74">
        <f t="shared" si="7"/>
        <v>0</v>
      </c>
      <c r="V32" s="74">
        <f t="shared" si="8"/>
        <v>0</v>
      </c>
      <c r="W32" s="74">
        <f t="shared" si="9"/>
        <v>0</v>
      </c>
      <c r="X32" s="74" t="str">
        <f t="shared" si="10"/>
        <v/>
      </c>
      <c r="Y32" s="74">
        <f t="shared" si="11"/>
        <v>0</v>
      </c>
      <c r="Z32" s="74">
        <f>IF(Y32=1,COUNTIF($Y$6:Y32,1),0)</f>
        <v>0</v>
      </c>
      <c r="AA32" s="74" t="b">
        <f t="shared" si="12"/>
        <v>0</v>
      </c>
      <c r="AB32" s="26" t="s">
        <v>226</v>
      </c>
      <c r="AC32">
        <f t="shared" si="13"/>
        <v>0</v>
      </c>
    </row>
    <row r="33" spans="1:29" ht="48" customHeight="1" x14ac:dyDescent="0.35">
      <c r="A33" s="49" t="s">
        <v>230</v>
      </c>
      <c r="B33" s="50" t="s">
        <v>223</v>
      </c>
      <c r="C33" s="51" t="s">
        <v>122</v>
      </c>
      <c r="D33" s="53" t="s">
        <v>166</v>
      </c>
      <c r="E33" s="50" t="s">
        <v>231</v>
      </c>
      <c r="F33" s="50" t="s">
        <v>232</v>
      </c>
      <c r="G33" s="50" t="str">
        <f>"15.1 "&amp;INDEX('6. Standards'!$B$5:$B$21,MATCH("15.1",'6. Standards'!$A$5:$A$21,0))&amp;" — "&amp;"considerations"</f>
        <v>15.1 Final Engagement Communication — considerations</v>
      </c>
      <c r="H33" s="50" t="str">
        <f>IF(StandardsEra="Before 9 January 2025","Off. 2. Details dates the report before 9 January 2025, so a conformance statement is not scored.","On. Era is "&amp;IF(StandardsEra="","not set",StandardsEra)&amp;". Use N/A when the report makes no conformance claim.")</f>
        <v>On. Era is not set. Use N/A when the report makes no conformance claim.</v>
      </c>
      <c r="I33" s="77"/>
      <c r="J33" s="77"/>
      <c r="K33" s="77"/>
      <c r="L33" s="51" t="s">
        <v>134</v>
      </c>
      <c r="M33" s="51" t="s">
        <v>126</v>
      </c>
      <c r="N33" s="73">
        <f t="shared" si="0"/>
        <v>0</v>
      </c>
      <c r="O33" s="73">
        <f t="shared" si="1"/>
        <v>0</v>
      </c>
      <c r="P33" s="74">
        <f t="shared" si="2"/>
        <v>0</v>
      </c>
      <c r="Q33" s="74">
        <f t="shared" si="3"/>
        <v>0</v>
      </c>
      <c r="R33" s="74">
        <f t="shared" si="4"/>
        <v>0</v>
      </c>
      <c r="S33" s="74">
        <f t="shared" si="5"/>
        <v>0</v>
      </c>
      <c r="T33" s="74">
        <f t="shared" si="6"/>
        <v>0</v>
      </c>
      <c r="U33" s="74">
        <f t="shared" si="7"/>
        <v>0</v>
      </c>
      <c r="V33" s="74">
        <f t="shared" si="8"/>
        <v>0</v>
      </c>
      <c r="W33" s="74">
        <f t="shared" si="9"/>
        <v>0</v>
      </c>
      <c r="X33" s="74" t="str">
        <f t="shared" si="10"/>
        <v/>
      </c>
      <c r="Y33" s="74">
        <f t="shared" si="11"/>
        <v>0</v>
      </c>
      <c r="Z33" s="74">
        <f>IF(Y33=1,COUNTIF($Y$6:Y33,1),0)</f>
        <v>0</v>
      </c>
      <c r="AA33" s="74" t="b">
        <f t="shared" si="12"/>
        <v>0</v>
      </c>
      <c r="AB33" s="26" t="s">
        <v>178</v>
      </c>
      <c r="AC33">
        <f t="shared" si="13"/>
        <v>0</v>
      </c>
    </row>
    <row r="34" spans="1:29" ht="48" customHeight="1" x14ac:dyDescent="0.35">
      <c r="A34" s="49" t="s">
        <v>233</v>
      </c>
      <c r="B34" s="50" t="s">
        <v>223</v>
      </c>
      <c r="C34" s="51" t="s">
        <v>122</v>
      </c>
      <c r="D34" s="52" t="s">
        <v>123</v>
      </c>
      <c r="E34" s="50" t="s">
        <v>234</v>
      </c>
      <c r="F34" s="50" t="s">
        <v>235</v>
      </c>
      <c r="G34" s="50" t="str">
        <f>"15.1 "&amp;INDEX('6. Standards'!$B$5:$B$21,MATCH("15.1",'6. Standards'!$A$5:$A$21,0))&amp;" — "&amp;INDEX('6. Standards'!$C$5:$C$21,MATCH("15.1",'6. Standards'!$A$5:$A$21,0))</f>
        <v>15.1 Final Engagement Communication — Requirements</v>
      </c>
      <c r="H34" s="50" t="str">
        <f>"Use N/A when no nonconformance has been identified. Silence is not a fail."</f>
        <v>Use N/A when no nonconformance has been identified. Silence is not a fail.</v>
      </c>
      <c r="I34" s="77"/>
      <c r="J34" s="77"/>
      <c r="K34" s="77"/>
      <c r="L34" s="51" t="s">
        <v>134</v>
      </c>
      <c r="M34" s="51" t="s">
        <v>126</v>
      </c>
      <c r="N34" s="73">
        <f t="shared" si="0"/>
        <v>0</v>
      </c>
      <c r="O34" s="73">
        <f t="shared" si="1"/>
        <v>0</v>
      </c>
      <c r="P34" s="74">
        <f t="shared" si="2"/>
        <v>0</v>
      </c>
      <c r="Q34" s="74">
        <f t="shared" si="3"/>
        <v>0</v>
      </c>
      <c r="R34" s="74">
        <f t="shared" si="4"/>
        <v>1</v>
      </c>
      <c r="S34" s="74">
        <f t="shared" si="5"/>
        <v>0</v>
      </c>
      <c r="T34" s="74">
        <f t="shared" si="6"/>
        <v>0</v>
      </c>
      <c r="U34" s="74">
        <f t="shared" si="7"/>
        <v>0</v>
      </c>
      <c r="V34" s="74">
        <f t="shared" si="8"/>
        <v>0</v>
      </c>
      <c r="W34" s="74">
        <f t="shared" si="9"/>
        <v>0</v>
      </c>
      <c r="X34" s="74" t="str">
        <f t="shared" si="10"/>
        <v/>
      </c>
      <c r="Y34" s="74">
        <f t="shared" si="11"/>
        <v>0</v>
      </c>
      <c r="Z34" s="74">
        <f>IF(Y34=1,COUNTIF($Y$6:Y34,1),0)</f>
        <v>0</v>
      </c>
      <c r="AA34" s="74" t="b">
        <f t="shared" si="12"/>
        <v>0</v>
      </c>
      <c r="AB34" s="26" t="s">
        <v>178</v>
      </c>
      <c r="AC34">
        <f t="shared" si="13"/>
        <v>0</v>
      </c>
    </row>
    <row r="35" spans="1:29" ht="48" customHeight="1" x14ac:dyDescent="0.35">
      <c r="A35" s="49" t="s">
        <v>236</v>
      </c>
      <c r="B35" s="50" t="s">
        <v>223</v>
      </c>
      <c r="C35" s="51" t="s">
        <v>122</v>
      </c>
      <c r="D35" s="52" t="s">
        <v>123</v>
      </c>
      <c r="E35" s="50" t="s">
        <v>237</v>
      </c>
      <c r="F35" s="50" t="s">
        <v>238</v>
      </c>
      <c r="G35" s="50" t="str">
        <f>"5.1 "&amp;INDEX('6. Standards'!$B$5:$B$21,MATCH("5.1",'6. Standards'!$A$5:$A$21,0))&amp;" — "&amp;INDEX('6. Standards'!$C$5:$C$21,MATCH("5.1",'6. Standards'!$A$5:$A$21,0))&amp;CHAR(10)&amp;"5.2 "&amp;INDEX('6. Standards'!$B$5:$B$21,MATCH("5.2",'6. Standards'!$A$5:$A$21,0))&amp;" — "&amp;INDEX('6. Standards'!$C$5:$C$21,MATCH("5.2",'6. Standards'!$A$5:$A$21,0))</f>
        <v>5.1 Use of Information — Requirements
5.2 Protection of Information — Requirements</v>
      </c>
      <c r="H35" s="50" t="str">
        <f>"No other line switches this off."</f>
        <v>No other line switches this off.</v>
      </c>
      <c r="I35" s="77"/>
      <c r="J35" s="77"/>
      <c r="K35" s="77"/>
      <c r="L35" s="51" t="s">
        <v>126</v>
      </c>
      <c r="M35" s="51" t="s">
        <v>134</v>
      </c>
      <c r="N35" s="73">
        <f t="shared" si="0"/>
        <v>0</v>
      </c>
      <c r="O35" s="73">
        <f t="shared" si="1"/>
        <v>0</v>
      </c>
      <c r="P35" s="74">
        <f t="shared" si="2"/>
        <v>0</v>
      </c>
      <c r="Q35" s="74">
        <f t="shared" si="3"/>
        <v>0</v>
      </c>
      <c r="R35" s="74">
        <f t="shared" si="4"/>
        <v>1</v>
      </c>
      <c r="S35" s="74">
        <f t="shared" si="5"/>
        <v>0</v>
      </c>
      <c r="T35" s="74">
        <f t="shared" si="6"/>
        <v>0</v>
      </c>
      <c r="U35" s="74">
        <f t="shared" si="7"/>
        <v>0</v>
      </c>
      <c r="V35" s="74">
        <f t="shared" si="8"/>
        <v>0</v>
      </c>
      <c r="W35" s="74">
        <f t="shared" si="9"/>
        <v>0</v>
      </c>
      <c r="X35" s="74" t="str">
        <f t="shared" si="10"/>
        <v/>
      </c>
      <c r="Y35" s="74">
        <f t="shared" si="11"/>
        <v>0</v>
      </c>
      <c r="Z35" s="74">
        <f>IF(Y35=1,COUNTIF($Y$6:Y35,1),0)</f>
        <v>0</v>
      </c>
      <c r="AA35" s="74" t="b">
        <f t="shared" si="12"/>
        <v>0</v>
      </c>
      <c r="AB35" s="26" t="s">
        <v>239</v>
      </c>
      <c r="AC35">
        <f t="shared" si="13"/>
        <v>0</v>
      </c>
    </row>
    <row r="36" spans="1:29" ht="48" customHeight="1" x14ac:dyDescent="0.35">
      <c r="A36" s="49" t="s">
        <v>240</v>
      </c>
      <c r="B36" s="50" t="s">
        <v>223</v>
      </c>
      <c r="C36" s="51" t="s">
        <v>122</v>
      </c>
      <c r="D36" s="52" t="s">
        <v>123</v>
      </c>
      <c r="E36" s="50" t="s">
        <v>241</v>
      </c>
      <c r="F36" s="50" t="s">
        <v>242</v>
      </c>
      <c r="G36" s="50" t="str">
        <f>"11.4 "&amp;INDEX('6. Standards'!$B$5:$B$21,MATCH("11.4",'6. Standards'!$A$5:$A$21,0))&amp;" — "&amp;INDEX('6. Standards'!$C$5:$C$21,MATCH("11.4",'6. Standards'!$A$5:$A$21,0))</f>
        <v>11.4 Errors and Omissions — Requirements</v>
      </c>
      <c r="H36" s="50" t="str">
        <f>"Use N/A unless this document corrects an earlier final communication. Standard 11.4 then applies."</f>
        <v>Use N/A unless this document corrects an earlier final communication. Standard 11.4 then applies.</v>
      </c>
      <c r="I36" s="77"/>
      <c r="J36" s="77"/>
      <c r="K36" s="77"/>
      <c r="L36" s="51" t="s">
        <v>134</v>
      </c>
      <c r="M36" s="51" t="s">
        <v>126</v>
      </c>
      <c r="N36" s="73">
        <f t="shared" si="0"/>
        <v>0</v>
      </c>
      <c r="O36" s="73">
        <f t="shared" si="1"/>
        <v>0</v>
      </c>
      <c r="P36" s="74">
        <f t="shared" si="2"/>
        <v>0</v>
      </c>
      <c r="Q36" s="74">
        <f t="shared" si="3"/>
        <v>0</v>
      </c>
      <c r="R36" s="74">
        <f t="shared" si="4"/>
        <v>1</v>
      </c>
      <c r="S36" s="74">
        <f t="shared" si="5"/>
        <v>0</v>
      </c>
      <c r="T36" s="74">
        <f t="shared" si="6"/>
        <v>0</v>
      </c>
      <c r="U36" s="74">
        <f t="shared" si="7"/>
        <v>0</v>
      </c>
      <c r="V36" s="74">
        <f t="shared" si="8"/>
        <v>0</v>
      </c>
      <c r="W36" s="74">
        <f t="shared" si="9"/>
        <v>0</v>
      </c>
      <c r="X36" s="74" t="str">
        <f t="shared" si="10"/>
        <v/>
      </c>
      <c r="Y36" s="74">
        <f t="shared" si="11"/>
        <v>0</v>
      </c>
      <c r="Z36" s="74">
        <f>IF(Y36=1,COUNTIF($Y$6:Y36,1),0)</f>
        <v>0</v>
      </c>
      <c r="AA36" s="74" t="b">
        <f t="shared" si="12"/>
        <v>0</v>
      </c>
      <c r="AB36" s="26" t="s">
        <v>243</v>
      </c>
      <c r="AC36">
        <f t="shared" si="13"/>
        <v>0</v>
      </c>
    </row>
    <row r="37" spans="1:29" ht="48" customHeight="1" x14ac:dyDescent="0.35">
      <c r="A37" s="49" t="s">
        <v>244</v>
      </c>
      <c r="B37" s="50" t="s">
        <v>223</v>
      </c>
      <c r="C37" s="51" t="s">
        <v>122</v>
      </c>
      <c r="D37" s="52" t="s">
        <v>123</v>
      </c>
      <c r="E37" s="50" t="s">
        <v>245</v>
      </c>
      <c r="F37" s="50" t="s">
        <v>246</v>
      </c>
      <c r="G37" s="50" t="str">
        <f>"11.5 "&amp;INDEX('6. Standards'!$B$5:$B$21,MATCH("11.5",'6. Standards'!$A$5:$A$21,0))&amp;" — "&amp;INDEX('6. Standards'!$C$5:$C$21,MATCH("11.5",'6. Standards'!$A$5:$A$21,0))</f>
        <v>11.5 Communicating the Acceptance of Risks — Requirements</v>
      </c>
      <c r="H37" s="50" t="str">
        <f>"Use N/A unless the report shows risk accepted above appetite or tolerance. Standard 11.5 then applies."</f>
        <v>Use N/A unless the report shows risk accepted above appetite or tolerance. Standard 11.5 then applies.</v>
      </c>
      <c r="I37" s="77"/>
      <c r="J37" s="77"/>
      <c r="K37" s="77"/>
      <c r="L37" s="51" t="s">
        <v>134</v>
      </c>
      <c r="M37" s="51" t="s">
        <v>126</v>
      </c>
      <c r="N37" s="73">
        <f t="shared" si="0"/>
        <v>0</v>
      </c>
      <c r="O37" s="73">
        <f t="shared" si="1"/>
        <v>0</v>
      </c>
      <c r="P37" s="74">
        <f t="shared" si="2"/>
        <v>0</v>
      </c>
      <c r="Q37" s="74">
        <f t="shared" si="3"/>
        <v>0</v>
      </c>
      <c r="R37" s="74">
        <f t="shared" si="4"/>
        <v>1</v>
      </c>
      <c r="S37" s="74">
        <f t="shared" si="5"/>
        <v>0</v>
      </c>
      <c r="T37" s="74">
        <f t="shared" si="6"/>
        <v>0</v>
      </c>
      <c r="U37" s="74">
        <f t="shared" si="7"/>
        <v>0</v>
      </c>
      <c r="V37" s="74">
        <f t="shared" si="8"/>
        <v>0</v>
      </c>
      <c r="W37" s="74">
        <f t="shared" si="9"/>
        <v>0</v>
      </c>
      <c r="X37" s="74" t="str">
        <f t="shared" si="10"/>
        <v/>
      </c>
      <c r="Y37" s="74">
        <f t="shared" si="11"/>
        <v>0</v>
      </c>
      <c r="Z37" s="74">
        <f>IF(Y37=1,COUNTIF($Y$6:Y37,1),0)</f>
        <v>0</v>
      </c>
      <c r="AA37" s="74" t="b">
        <f t="shared" si="12"/>
        <v>0</v>
      </c>
      <c r="AB37" s="26" t="s">
        <v>247</v>
      </c>
      <c r="AC37">
        <f t="shared" si="13"/>
        <v>0</v>
      </c>
    </row>
    <row r="38" spans="1:29" ht="48" customHeight="1" x14ac:dyDescent="0.35">
      <c r="A38" s="54" t="s">
        <v>248</v>
      </c>
      <c r="B38" s="55" t="s">
        <v>249</v>
      </c>
      <c r="C38" s="56" t="s">
        <v>122</v>
      </c>
      <c r="D38" s="57" t="s">
        <v>166</v>
      </c>
      <c r="E38" s="55" t="s">
        <v>250</v>
      </c>
      <c r="F38" s="55" t="s">
        <v>251</v>
      </c>
      <c r="G38" s="55" t="str">
        <f>"11.2 "&amp;INDEX('6. Standards'!$B$5:$B$21,MATCH("11.2",'6. Standards'!$A$5:$A$21,0))&amp;" — "&amp;"considerations"</f>
        <v>11.2 Effective Communication — considerations</v>
      </c>
      <c r="H38" s="55" t="str">
        <f>"No other line switches this off."</f>
        <v>No other line switches this off.</v>
      </c>
      <c r="I38" s="77"/>
      <c r="J38" s="77"/>
      <c r="K38" s="77"/>
      <c r="L38" s="56" t="s">
        <v>126</v>
      </c>
      <c r="M38" s="56" t="s">
        <v>126</v>
      </c>
      <c r="N38" s="73">
        <f t="shared" si="0"/>
        <v>0</v>
      </c>
      <c r="O38" s="73">
        <f t="shared" si="1"/>
        <v>0</v>
      </c>
      <c r="P38" s="74">
        <f t="shared" si="2"/>
        <v>0</v>
      </c>
      <c r="Q38" s="74">
        <f t="shared" si="3"/>
        <v>0</v>
      </c>
      <c r="R38" s="74">
        <f t="shared" si="4"/>
        <v>0</v>
      </c>
      <c r="S38" s="74">
        <f t="shared" si="5"/>
        <v>0</v>
      </c>
      <c r="T38" s="74">
        <f t="shared" si="6"/>
        <v>0</v>
      </c>
      <c r="U38" s="74">
        <f t="shared" si="7"/>
        <v>0</v>
      </c>
      <c r="V38" s="74">
        <f t="shared" si="8"/>
        <v>0</v>
      </c>
      <c r="W38" s="74">
        <f t="shared" si="9"/>
        <v>0</v>
      </c>
      <c r="X38" s="74" t="str">
        <f t="shared" si="10"/>
        <v/>
      </c>
      <c r="Y38" s="74">
        <f t="shared" si="11"/>
        <v>0</v>
      </c>
      <c r="Z38" s="74">
        <f>IF(Y38=1,COUNTIF($Y$6:Y38,1),0)</f>
        <v>0</v>
      </c>
      <c r="AA38" s="74" t="b">
        <f t="shared" si="12"/>
        <v>0</v>
      </c>
      <c r="AB38" s="26" t="s">
        <v>252</v>
      </c>
      <c r="AC38">
        <f t="shared" si="13"/>
        <v>0</v>
      </c>
    </row>
    <row r="39" spans="1:29" ht="48" customHeight="1" x14ac:dyDescent="0.35">
      <c r="A39" s="54" t="s">
        <v>253</v>
      </c>
      <c r="B39" s="55" t="s">
        <v>249</v>
      </c>
      <c r="C39" s="56" t="s">
        <v>138</v>
      </c>
      <c r="D39" s="57" t="s">
        <v>166</v>
      </c>
      <c r="E39" s="55" t="s">
        <v>254</v>
      </c>
      <c r="F39" s="55" t="s">
        <v>255</v>
      </c>
      <c r="G39" s="55" t="str">
        <f>"14.3 "&amp;INDEX('6. Standards'!$B$5:$B$21,MATCH("14.3",'6. Standards'!$A$5:$A$21,0))&amp;" — "&amp;"Requirements. Prioritisation is the Must on C4. This line is a Should"</f>
        <v>14.3 Evaluation of Findings — Requirements. Prioritisation is the Must on C4. This line is a Should</v>
      </c>
      <c r="H39" s="55" t="str">
        <f>"See "&amp;INDEX($A$6:$A$47,MATCH("C4",$A$6:$A$47,0))&amp;", which scores whether every finding has a priority. "&amp;INDEX($A$6:$A$47,MATCH("C4",$A$6:$A$47,0))&amp;" is "&amp;IF(INDEX($I$6:$I$47,MATCH("C4",$A$6:$A$47,0))="","blank",INDEX($I$6:$I$47,MATCH("C4",$A$6:$A$47,0)))&amp;". This line scores whether that priority is visible."</f>
        <v>See C4, which scores whether every finding has a priority. C4 is blank. This line scores whether that priority is visible.</v>
      </c>
      <c r="I39" s="77"/>
      <c r="J39" s="77"/>
      <c r="K39" s="77"/>
      <c r="L39" s="56" t="s">
        <v>126</v>
      </c>
      <c r="M39" s="56" t="s">
        <v>126</v>
      </c>
      <c r="N39" s="73">
        <f t="shared" si="0"/>
        <v>0</v>
      </c>
      <c r="O39" s="73">
        <f t="shared" si="1"/>
        <v>0</v>
      </c>
      <c r="P39" s="74">
        <f t="shared" si="2"/>
        <v>0</v>
      </c>
      <c r="Q39" s="74">
        <f t="shared" si="3"/>
        <v>0</v>
      </c>
      <c r="R39" s="74">
        <f t="shared" si="4"/>
        <v>0</v>
      </c>
      <c r="S39" s="74">
        <f t="shared" si="5"/>
        <v>0</v>
      </c>
      <c r="T39" s="74">
        <f t="shared" si="6"/>
        <v>0</v>
      </c>
      <c r="U39" s="74">
        <f t="shared" si="7"/>
        <v>0</v>
      </c>
      <c r="V39" s="74">
        <f t="shared" si="8"/>
        <v>0</v>
      </c>
      <c r="W39" s="74">
        <f t="shared" si="9"/>
        <v>0</v>
      </c>
      <c r="X39" s="74" t="str">
        <f t="shared" si="10"/>
        <v/>
      </c>
      <c r="Y39" s="74">
        <f t="shared" si="11"/>
        <v>0</v>
      </c>
      <c r="Z39" s="74">
        <f>IF(Y39=1,COUNTIF($Y$6:Y39,1),0)</f>
        <v>0</v>
      </c>
      <c r="AA39" s="74" t="b">
        <f t="shared" si="12"/>
        <v>0</v>
      </c>
      <c r="AB39" s="26" t="s">
        <v>153</v>
      </c>
      <c r="AC39">
        <f t="shared" si="13"/>
        <v>0</v>
      </c>
    </row>
    <row r="40" spans="1:29" ht="48" customHeight="1" x14ac:dyDescent="0.35">
      <c r="A40" s="54" t="s">
        <v>256</v>
      </c>
      <c r="B40" s="55" t="s">
        <v>249</v>
      </c>
      <c r="C40" s="56" t="s">
        <v>122</v>
      </c>
      <c r="D40" s="57" t="s">
        <v>166</v>
      </c>
      <c r="E40" s="55" t="s">
        <v>257</v>
      </c>
      <c r="F40" s="55" t="s">
        <v>258</v>
      </c>
      <c r="G40" s="55" t="str">
        <f>"14.3 "&amp;INDEX('6. Standards'!$B$5:$B$21,MATCH("14.3",'6. Standards'!$A$5:$A$21,0))&amp;" — "&amp;"considerations"&amp;CHAR(10)&amp;"11.3 "&amp;INDEX('6. Standards'!$B$5:$B$21,MATCH("11.3",'6. Standards'!$A$5:$A$21,0))&amp;" — "&amp;"themes across engagements, not a requirement of this report"</f>
        <v>14.3 Evaluation of Findings — considerations
11.3 Communicating Results — themes across engagements, not a requirement of this report</v>
      </c>
      <c r="H40" s="55" t="str">
        <f>"No other line switches this off."</f>
        <v>No other line switches this off.</v>
      </c>
      <c r="I40" s="77"/>
      <c r="J40" s="77"/>
      <c r="K40" s="77"/>
      <c r="L40" s="56" t="s">
        <v>134</v>
      </c>
      <c r="M40" s="56" t="s">
        <v>126</v>
      </c>
      <c r="N40" s="73">
        <f t="shared" si="0"/>
        <v>0</v>
      </c>
      <c r="O40" s="73">
        <f t="shared" si="1"/>
        <v>0</v>
      </c>
      <c r="P40" s="74">
        <f t="shared" si="2"/>
        <v>0</v>
      </c>
      <c r="Q40" s="74">
        <f t="shared" si="3"/>
        <v>0</v>
      </c>
      <c r="R40" s="74">
        <f t="shared" si="4"/>
        <v>0</v>
      </c>
      <c r="S40" s="74">
        <f t="shared" si="5"/>
        <v>0</v>
      </c>
      <c r="T40" s="74">
        <f t="shared" si="6"/>
        <v>0</v>
      </c>
      <c r="U40" s="74">
        <f t="shared" si="7"/>
        <v>0</v>
      </c>
      <c r="V40" s="74">
        <f t="shared" si="8"/>
        <v>0</v>
      </c>
      <c r="W40" s="74">
        <f t="shared" si="9"/>
        <v>0</v>
      </c>
      <c r="X40" s="74" t="str">
        <f t="shared" si="10"/>
        <v/>
      </c>
      <c r="Y40" s="74">
        <f t="shared" si="11"/>
        <v>0</v>
      </c>
      <c r="Z40" s="74">
        <f>IF(Y40=1,COUNTIF($Y$6:Y40,1),0)</f>
        <v>0</v>
      </c>
      <c r="AA40" s="74" t="b">
        <f t="shared" si="12"/>
        <v>0</v>
      </c>
      <c r="AB40" s="26" t="s">
        <v>259</v>
      </c>
      <c r="AC40">
        <f t="shared" si="13"/>
        <v>0</v>
      </c>
    </row>
    <row r="41" spans="1:29" ht="48" customHeight="1" x14ac:dyDescent="0.35">
      <c r="A41" s="54" t="s">
        <v>260</v>
      </c>
      <c r="B41" s="55" t="s">
        <v>249</v>
      </c>
      <c r="C41" s="56" t="s">
        <v>122</v>
      </c>
      <c r="D41" s="57" t="s">
        <v>166</v>
      </c>
      <c r="E41" s="55" t="s">
        <v>261</v>
      </c>
      <c r="F41" s="55" t="s">
        <v>262</v>
      </c>
      <c r="G41" s="55" t="str">
        <f>"14.5 "&amp;INDEX('6. Standards'!$B$5:$B$21,MATCH("14.5",'6. Standards'!$A$5:$A$21,0))&amp;" — "&amp;"considerations"</f>
        <v>14.5 Engagement Conclusions — considerations</v>
      </c>
      <c r="H41" s="55" t="str">
        <f>"See "&amp;INDEX($A$6:$A$47,MATCH("E1",$A$6:$A$47,0))&amp;". The conclusion’s link to the objectives is also part of Standard 14.5. "&amp;INDEX($A$6:$A$47,MATCH("E1",$A$6:$A$47,0))&amp;" is "&amp;IF(INDEX($I$6:$I$47,MATCH("E1",$A$6:$A$47,0))="","blank",INDEX($I$6:$I$47,MATCH("E1",$A$6:$A$47,0)))&amp;"."</f>
        <v>See E1. The conclusion’s link to the objectives is also part of Standard 14.5. E1 is blank.</v>
      </c>
      <c r="I41" s="77"/>
      <c r="J41" s="77"/>
      <c r="K41" s="77"/>
      <c r="L41" s="56" t="s">
        <v>126</v>
      </c>
      <c r="M41" s="56" t="s">
        <v>126</v>
      </c>
      <c r="N41" s="73">
        <f t="shared" si="0"/>
        <v>0</v>
      </c>
      <c r="O41" s="73">
        <f t="shared" si="1"/>
        <v>0</v>
      </c>
      <c r="P41" s="74">
        <f t="shared" si="2"/>
        <v>0</v>
      </c>
      <c r="Q41" s="74">
        <f t="shared" si="3"/>
        <v>0</v>
      </c>
      <c r="R41" s="74">
        <f t="shared" si="4"/>
        <v>0</v>
      </c>
      <c r="S41" s="74">
        <f t="shared" si="5"/>
        <v>0</v>
      </c>
      <c r="T41" s="74">
        <f t="shared" si="6"/>
        <v>0</v>
      </c>
      <c r="U41" s="74">
        <f t="shared" si="7"/>
        <v>0</v>
      </c>
      <c r="V41" s="74">
        <f t="shared" si="8"/>
        <v>0</v>
      </c>
      <c r="W41" s="74">
        <f t="shared" si="9"/>
        <v>0</v>
      </c>
      <c r="X41" s="74" t="str">
        <f t="shared" si="10"/>
        <v/>
      </c>
      <c r="Y41" s="74">
        <f t="shared" si="11"/>
        <v>0</v>
      </c>
      <c r="Z41" s="74">
        <f>IF(Y41=1,COUNTIF($Y$6:Y41,1),0)</f>
        <v>0</v>
      </c>
      <c r="AA41" s="74" t="b">
        <f t="shared" si="12"/>
        <v>0</v>
      </c>
      <c r="AB41" s="26" t="s">
        <v>197</v>
      </c>
      <c r="AC41">
        <f t="shared" si="13"/>
        <v>0</v>
      </c>
    </row>
    <row r="42" spans="1:29" ht="48" customHeight="1" x14ac:dyDescent="0.35">
      <c r="A42" s="54" t="s">
        <v>263</v>
      </c>
      <c r="B42" s="55" t="s">
        <v>249</v>
      </c>
      <c r="C42" s="56" t="s">
        <v>122</v>
      </c>
      <c r="D42" s="57" t="s">
        <v>166</v>
      </c>
      <c r="E42" s="55" t="s">
        <v>264</v>
      </c>
      <c r="F42" s="55" t="s">
        <v>265</v>
      </c>
      <c r="G42" s="55" t="str">
        <f>"13.1 "&amp;INDEX('6. Standards'!$B$5:$B$21,MATCH("13.1",'6. Standards'!$A$5:$A$21,0))&amp;" — "&amp;"Requirements, scored as Should"&amp;CHAR(10)&amp;"14.4 "&amp;INDEX('6. Standards'!$B$5:$B$21,MATCH("14.4",'6. Standards'!$A$5:$A$21,0))&amp;" — "&amp;"Requirements, scored as Should"</f>
        <v>13.1 Engagement Communication — Requirements, scored as Should
14.4 Recommendations and Action Plans — Requirements, scored as Should</v>
      </c>
      <c r="H42" s="55" t="str">
        <f>"No other line switches this off."</f>
        <v>No other line switches this off.</v>
      </c>
      <c r="I42" s="77"/>
      <c r="J42" s="77"/>
      <c r="K42" s="77"/>
      <c r="L42" s="56" t="s">
        <v>126</v>
      </c>
      <c r="M42" s="56" t="s">
        <v>134</v>
      </c>
      <c r="N42" s="73">
        <f t="shared" si="0"/>
        <v>0</v>
      </c>
      <c r="O42" s="73">
        <f t="shared" si="1"/>
        <v>0</v>
      </c>
      <c r="P42" s="74">
        <f t="shared" si="2"/>
        <v>0</v>
      </c>
      <c r="Q42" s="74">
        <f t="shared" si="3"/>
        <v>0</v>
      </c>
      <c r="R42" s="74">
        <f t="shared" si="4"/>
        <v>0</v>
      </c>
      <c r="S42" s="74">
        <f t="shared" si="5"/>
        <v>0</v>
      </c>
      <c r="T42" s="74">
        <f t="shared" si="6"/>
        <v>0</v>
      </c>
      <c r="U42" s="74">
        <f t="shared" si="7"/>
        <v>0</v>
      </c>
      <c r="V42" s="74">
        <f t="shared" si="8"/>
        <v>0</v>
      </c>
      <c r="W42" s="74">
        <f t="shared" si="9"/>
        <v>0</v>
      </c>
      <c r="X42" s="74" t="str">
        <f t="shared" si="10"/>
        <v/>
      </c>
      <c r="Y42" s="74">
        <f t="shared" si="11"/>
        <v>0</v>
      </c>
      <c r="Z42" s="74">
        <f>IF(Y42=1,COUNTIF($Y$6:Y42,1),0)</f>
        <v>0</v>
      </c>
      <c r="AA42" s="74" t="b">
        <f t="shared" si="12"/>
        <v>0</v>
      </c>
      <c r="AB42" s="26" t="s">
        <v>266</v>
      </c>
      <c r="AC42">
        <f t="shared" si="13"/>
        <v>0</v>
      </c>
    </row>
    <row r="43" spans="1:29" ht="48" customHeight="1" x14ac:dyDescent="0.35">
      <c r="A43" s="58" t="s">
        <v>267</v>
      </c>
      <c r="B43" s="59" t="s">
        <v>268</v>
      </c>
      <c r="C43" s="60" t="s">
        <v>122</v>
      </c>
      <c r="D43" s="61" t="s">
        <v>123</v>
      </c>
      <c r="E43" s="59" t="s">
        <v>269</v>
      </c>
      <c r="F43" s="59" t="s">
        <v>270</v>
      </c>
      <c r="G43" s="59" t="str">
        <f>"11.3 "&amp;INDEX('6. Standards'!$B$5:$B$21,MATCH("11.3",'6. Standards'!$A$5:$A$21,0))&amp;" — "&amp;INDEX('6. Standards'!$C$5:$C$21,MATCH("11.3",'6. Standards'!$A$5:$A$21,0))</f>
        <v>11.3 Communicating Results — Requirements</v>
      </c>
      <c r="H43" s="59" t="str">
        <f>IF(EngagementType&lt;&gt;"Overall opinion","Off. These lines apply only when 2. Details says Overall opinion. Type is "&amp;IF(EngagementType="","not set",EngagementType)&amp;".","On. Standard 11.3 requires this element of an overall conclusion.")</f>
        <v>Off. These lines apply only when 2. Details says Overall opinion. Type is not set.</v>
      </c>
      <c r="I43" s="77"/>
      <c r="J43" s="77"/>
      <c r="K43" s="77"/>
      <c r="L43" s="60" t="s">
        <v>126</v>
      </c>
      <c r="M43" s="60" t="s">
        <v>126</v>
      </c>
      <c r="N43" s="73">
        <f t="shared" si="0"/>
        <v>0</v>
      </c>
      <c r="O43" s="73">
        <f t="shared" si="1"/>
        <v>0</v>
      </c>
      <c r="P43" s="74">
        <f t="shared" si="2"/>
        <v>0</v>
      </c>
      <c r="Q43" s="74">
        <f t="shared" si="3"/>
        <v>0</v>
      </c>
      <c r="R43" s="74">
        <f t="shared" si="4"/>
        <v>0</v>
      </c>
      <c r="S43" s="74">
        <f t="shared" si="5"/>
        <v>0</v>
      </c>
      <c r="T43" s="74">
        <f t="shared" si="6"/>
        <v>0</v>
      </c>
      <c r="U43" s="74">
        <f t="shared" si="7"/>
        <v>0</v>
      </c>
      <c r="V43" s="74">
        <f t="shared" si="8"/>
        <v>0</v>
      </c>
      <c r="W43" s="74">
        <f t="shared" si="9"/>
        <v>0</v>
      </c>
      <c r="X43" s="74" t="str">
        <f t="shared" si="10"/>
        <v/>
      </c>
      <c r="Y43" s="74">
        <f t="shared" si="11"/>
        <v>0</v>
      </c>
      <c r="Z43" s="74">
        <f>IF(Y43=1,COUNTIF($Y$6:Y43,1),0)</f>
        <v>0</v>
      </c>
      <c r="AA43" s="74" t="b">
        <f t="shared" si="12"/>
        <v>1</v>
      </c>
      <c r="AB43" s="26" t="s">
        <v>271</v>
      </c>
      <c r="AC43">
        <f t="shared" si="13"/>
        <v>0</v>
      </c>
    </row>
    <row r="44" spans="1:29" ht="48" customHeight="1" x14ac:dyDescent="0.35">
      <c r="A44" s="58" t="s">
        <v>272</v>
      </c>
      <c r="B44" s="59" t="s">
        <v>268</v>
      </c>
      <c r="C44" s="60" t="s">
        <v>122</v>
      </c>
      <c r="D44" s="61" t="s">
        <v>123</v>
      </c>
      <c r="E44" s="59" t="s">
        <v>273</v>
      </c>
      <c r="F44" s="59" t="s">
        <v>274</v>
      </c>
      <c r="G44" s="59" t="str">
        <f>"11.3 "&amp;INDEX('6. Standards'!$B$5:$B$21,MATCH("11.3",'6. Standards'!$A$5:$A$21,0))&amp;" — "&amp;INDEX('6. Standards'!$C$5:$C$21,MATCH("11.3",'6. Standards'!$A$5:$A$21,0))</f>
        <v>11.3 Communicating Results — Requirements</v>
      </c>
      <c r="H44" s="59" t="str">
        <f>IF(EngagementType&lt;&gt;"Overall opinion","Off. These lines apply only when 2. Details says Overall opinion. Type is "&amp;IF(EngagementType="","not set",EngagementType)&amp;".","On. Standard 11.3 requires this element of an overall conclusion.")</f>
        <v>Off. These lines apply only when 2. Details says Overall opinion. Type is not set.</v>
      </c>
      <c r="I44" s="77"/>
      <c r="J44" s="77"/>
      <c r="K44" s="77"/>
      <c r="L44" s="60" t="s">
        <v>126</v>
      </c>
      <c r="M44" s="60" t="s">
        <v>126</v>
      </c>
      <c r="N44" s="73">
        <f t="shared" si="0"/>
        <v>0</v>
      </c>
      <c r="O44" s="73">
        <f t="shared" si="1"/>
        <v>0</v>
      </c>
      <c r="P44" s="74">
        <f t="shared" si="2"/>
        <v>0</v>
      </c>
      <c r="Q44" s="74">
        <f t="shared" si="3"/>
        <v>0</v>
      </c>
      <c r="R44" s="74">
        <f t="shared" si="4"/>
        <v>0</v>
      </c>
      <c r="S44" s="74">
        <f t="shared" si="5"/>
        <v>0</v>
      </c>
      <c r="T44" s="74">
        <f t="shared" si="6"/>
        <v>0</v>
      </c>
      <c r="U44" s="74">
        <f t="shared" si="7"/>
        <v>0</v>
      </c>
      <c r="V44" s="74">
        <f t="shared" si="8"/>
        <v>0</v>
      </c>
      <c r="W44" s="74">
        <f t="shared" si="9"/>
        <v>0</v>
      </c>
      <c r="X44" s="74" t="str">
        <f t="shared" si="10"/>
        <v/>
      </c>
      <c r="Y44" s="74">
        <f t="shared" si="11"/>
        <v>0</v>
      </c>
      <c r="Z44" s="74">
        <f>IF(Y44=1,COUNTIF($Y$6:Y44,1),0)</f>
        <v>0</v>
      </c>
      <c r="AA44" s="74" t="b">
        <f t="shared" si="12"/>
        <v>1</v>
      </c>
      <c r="AB44" s="26" t="s">
        <v>271</v>
      </c>
      <c r="AC44">
        <f t="shared" si="13"/>
        <v>0</v>
      </c>
    </row>
    <row r="45" spans="1:29" ht="48" customHeight="1" x14ac:dyDescent="0.35">
      <c r="A45" s="58" t="s">
        <v>275</v>
      </c>
      <c r="B45" s="59" t="s">
        <v>268</v>
      </c>
      <c r="C45" s="60" t="s">
        <v>122</v>
      </c>
      <c r="D45" s="61" t="s">
        <v>123</v>
      </c>
      <c r="E45" s="59" t="s">
        <v>276</v>
      </c>
      <c r="F45" s="59" t="s">
        <v>277</v>
      </c>
      <c r="G45" s="59" t="str">
        <f>"11.3 "&amp;INDEX('6. Standards'!$B$5:$B$21,MATCH("11.3",'6. Standards'!$A$5:$A$21,0))&amp;" — "&amp;INDEX('6. Standards'!$C$5:$C$21,MATCH("11.3",'6. Standards'!$A$5:$A$21,0))</f>
        <v>11.3 Communicating Results — Requirements</v>
      </c>
      <c r="H45" s="59" t="str">
        <f>IF(EngagementType&lt;&gt;"Overall opinion","Off. These lines apply only when 2. Details says Overall opinion. Type is "&amp;IF(EngagementType="","not set",EngagementType)&amp;".","On. Standard 11.3 requires this element of an overall conclusion.")</f>
        <v>Off. These lines apply only when 2. Details says Overall opinion. Type is not set.</v>
      </c>
      <c r="I45" s="77"/>
      <c r="J45" s="77"/>
      <c r="K45" s="77"/>
      <c r="L45" s="60" t="s">
        <v>126</v>
      </c>
      <c r="M45" s="60" t="s">
        <v>126</v>
      </c>
      <c r="N45" s="73">
        <f t="shared" si="0"/>
        <v>0</v>
      </c>
      <c r="O45" s="73">
        <f t="shared" si="1"/>
        <v>0</v>
      </c>
      <c r="P45" s="74">
        <f t="shared" si="2"/>
        <v>0</v>
      </c>
      <c r="Q45" s="74">
        <f t="shared" si="3"/>
        <v>0</v>
      </c>
      <c r="R45" s="74">
        <f t="shared" si="4"/>
        <v>0</v>
      </c>
      <c r="S45" s="74">
        <f t="shared" si="5"/>
        <v>0</v>
      </c>
      <c r="T45" s="74">
        <f t="shared" si="6"/>
        <v>0</v>
      </c>
      <c r="U45" s="74">
        <f t="shared" si="7"/>
        <v>0</v>
      </c>
      <c r="V45" s="74">
        <f t="shared" si="8"/>
        <v>0</v>
      </c>
      <c r="W45" s="74">
        <f t="shared" si="9"/>
        <v>0</v>
      </c>
      <c r="X45" s="74" t="str">
        <f t="shared" si="10"/>
        <v/>
      </c>
      <c r="Y45" s="74">
        <f t="shared" si="11"/>
        <v>0</v>
      </c>
      <c r="Z45" s="74">
        <f>IF(Y45=1,COUNTIF($Y$6:Y45,1),0)</f>
        <v>0</v>
      </c>
      <c r="AA45" s="74" t="b">
        <f t="shared" si="12"/>
        <v>1</v>
      </c>
      <c r="AB45" s="26" t="s">
        <v>271</v>
      </c>
      <c r="AC45">
        <f t="shared" si="13"/>
        <v>0</v>
      </c>
    </row>
    <row r="46" spans="1:29" ht="48" customHeight="1" x14ac:dyDescent="0.35">
      <c r="A46" s="58" t="s">
        <v>278</v>
      </c>
      <c r="B46" s="59" t="s">
        <v>268</v>
      </c>
      <c r="C46" s="60" t="s">
        <v>122</v>
      </c>
      <c r="D46" s="61" t="s">
        <v>123</v>
      </c>
      <c r="E46" s="59" t="s">
        <v>279</v>
      </c>
      <c r="F46" s="59" t="s">
        <v>280</v>
      </c>
      <c r="G46" s="59" t="str">
        <f>"11.3 "&amp;INDEX('6. Standards'!$B$5:$B$21,MATCH("11.3",'6. Standards'!$A$5:$A$21,0))&amp;" — "&amp;INDEX('6. Standards'!$C$5:$C$21,MATCH("11.3",'6. Standards'!$A$5:$A$21,0))</f>
        <v>11.3 Communicating Results — Requirements</v>
      </c>
      <c r="H46" s="59" t="str">
        <f>IF(EngagementType&lt;&gt;"Overall opinion","Off. These lines apply only when 2. Details says Overall opinion. Type is "&amp;IF(EngagementType="","not set",EngagementType)&amp;".","On. Standard 11.3 requires this element of an overall conclusion.")</f>
        <v>Off. These lines apply only when 2. Details says Overall opinion. Type is not set.</v>
      </c>
      <c r="I46" s="77"/>
      <c r="J46" s="77"/>
      <c r="K46" s="77"/>
      <c r="L46" s="60" t="s">
        <v>126</v>
      </c>
      <c r="M46" s="60" t="s">
        <v>126</v>
      </c>
      <c r="N46" s="73">
        <f t="shared" si="0"/>
        <v>0</v>
      </c>
      <c r="O46" s="73">
        <f t="shared" si="1"/>
        <v>0</v>
      </c>
      <c r="P46" s="74">
        <f t="shared" si="2"/>
        <v>0</v>
      </c>
      <c r="Q46" s="74">
        <f t="shared" si="3"/>
        <v>0</v>
      </c>
      <c r="R46" s="74">
        <f t="shared" si="4"/>
        <v>0</v>
      </c>
      <c r="S46" s="74">
        <f t="shared" si="5"/>
        <v>0</v>
      </c>
      <c r="T46" s="74">
        <f t="shared" si="6"/>
        <v>0</v>
      </c>
      <c r="U46" s="74">
        <f t="shared" si="7"/>
        <v>0</v>
      </c>
      <c r="V46" s="74">
        <f t="shared" si="8"/>
        <v>0</v>
      </c>
      <c r="W46" s="74">
        <f t="shared" si="9"/>
        <v>0</v>
      </c>
      <c r="X46" s="74" t="str">
        <f t="shared" si="10"/>
        <v/>
      </c>
      <c r="Y46" s="74">
        <f t="shared" si="11"/>
        <v>0</v>
      </c>
      <c r="Z46" s="74">
        <f>IF(Y46=1,COUNTIF($Y$6:Y46,1),0)</f>
        <v>0</v>
      </c>
      <c r="AA46" s="74" t="b">
        <f t="shared" si="12"/>
        <v>1</v>
      </c>
      <c r="AB46" s="26" t="s">
        <v>271</v>
      </c>
      <c r="AC46">
        <f t="shared" si="13"/>
        <v>0</v>
      </c>
    </row>
    <row r="47" spans="1:29" ht="48" customHeight="1" x14ac:dyDescent="0.35">
      <c r="A47" s="58" t="s">
        <v>281</v>
      </c>
      <c r="B47" s="59" t="s">
        <v>268</v>
      </c>
      <c r="C47" s="60" t="s">
        <v>122</v>
      </c>
      <c r="D47" s="61" t="s">
        <v>123</v>
      </c>
      <c r="E47" s="59" t="s">
        <v>282</v>
      </c>
      <c r="F47" s="59" t="s">
        <v>283</v>
      </c>
      <c r="G47" s="59" t="str">
        <f>"11.3 "&amp;INDEX('6. Standards'!$B$5:$B$21,MATCH("11.3",'6. Standards'!$A$5:$A$21,0))&amp;" — "&amp;INDEX('6. Standards'!$C$5:$C$21,MATCH("11.3",'6. Standards'!$A$5:$A$21,0))</f>
        <v>11.3 Communicating Results — Requirements</v>
      </c>
      <c r="H47" s="59" t="str">
        <f>IF(EngagementType&lt;&gt;"Overall opinion","Off. These lines apply only when 2. Details says Overall opinion. Type is "&amp;IF(EngagementType="","not set",EngagementType)&amp;".","On. Standard 11.3 requires this element of an overall conclusion.")</f>
        <v>Off. These lines apply only when 2. Details says Overall opinion. Type is not set.</v>
      </c>
      <c r="I47" s="77"/>
      <c r="J47" s="77"/>
      <c r="K47" s="77"/>
      <c r="L47" s="60" t="s">
        <v>134</v>
      </c>
      <c r="M47" s="60" t="s">
        <v>126</v>
      </c>
      <c r="N47" s="73">
        <f t="shared" si="0"/>
        <v>0</v>
      </c>
      <c r="O47" s="73">
        <f t="shared" si="1"/>
        <v>0</v>
      </c>
      <c r="P47" s="74">
        <f t="shared" si="2"/>
        <v>0</v>
      </c>
      <c r="Q47" s="74">
        <f t="shared" si="3"/>
        <v>0</v>
      </c>
      <c r="R47" s="74">
        <f t="shared" si="4"/>
        <v>0</v>
      </c>
      <c r="S47" s="74">
        <f t="shared" si="5"/>
        <v>0</v>
      </c>
      <c r="T47" s="74">
        <f t="shared" si="6"/>
        <v>0</v>
      </c>
      <c r="U47" s="74">
        <f t="shared" si="7"/>
        <v>0</v>
      </c>
      <c r="V47" s="74">
        <f t="shared" si="8"/>
        <v>0</v>
      </c>
      <c r="W47" s="74">
        <f t="shared" si="9"/>
        <v>0</v>
      </c>
      <c r="X47" s="74" t="str">
        <f t="shared" si="10"/>
        <v/>
      </c>
      <c r="Y47" s="74">
        <f t="shared" si="11"/>
        <v>0</v>
      </c>
      <c r="Z47" s="74">
        <f>IF(Y47=1,COUNTIF($Y$6:Y47,1),0)</f>
        <v>0</v>
      </c>
      <c r="AA47" s="74" t="b">
        <f t="shared" si="12"/>
        <v>1</v>
      </c>
      <c r="AB47" s="26" t="s">
        <v>271</v>
      </c>
      <c r="AC47">
        <f t="shared" si="13"/>
        <v>0</v>
      </c>
    </row>
  </sheetData>
  <sheetProtection sheet="1" insertColumns="0" insertRows="0" deleteColumns="0" deleteRows="0" selectLockedCells="1" selectUnlockedCells="1"/>
  <autoFilter ref="A5:O47" xr:uid="{00000000-0009-0000-0000-000002000000}"/>
  <mergeCells count="3">
    <mergeCell ref="A1:O1"/>
    <mergeCell ref="A3:O3"/>
    <mergeCell ref="A2:O2"/>
  </mergeCells>
  <conditionalFormatting sqref="I6:I47">
    <cfRule type="expression" dxfId="16" priority="1">
      <formula>OR(I6=3,I6="3")</formula>
    </cfRule>
    <cfRule type="expression" dxfId="15" priority="2">
      <formula>OR(I6=2,I6="2")</formula>
    </cfRule>
    <cfRule type="expression" dxfId="14" priority="3">
      <formula>OR(I6=1,I6="1")</formula>
    </cfRule>
    <cfRule type="expression" dxfId="13" priority="4">
      <formula>OR(I6=0,I6="0")</formula>
    </cfRule>
    <cfRule type="expression" dxfId="12" priority="5">
      <formula>AND(UPPER(I6&amp;"")="N/A",L6="Yes")</formula>
    </cfRule>
    <cfRule type="expression" dxfId="11" priority="6">
      <formula>AND(UPPER(I6&amp;"")="NOT TESTED",M6="Yes")</formula>
    </cfRule>
    <cfRule type="expression" dxfId="10" priority="7">
      <formula>OR(AND(UPPER(I6&amp;"")="N/A",L6&lt;&gt;"Yes"),AND(UPPER(I6&amp;"")="NOT TESTED",M6&lt;&gt;"Yes"))</formula>
    </cfRule>
  </conditionalFormatting>
  <conditionalFormatting sqref="K6:K47">
    <cfRule type="expression" dxfId="9" priority="8">
      <formula>AND(OR(I6=0,I6="0",I6=1,I6="1",UPPER(I6&amp;"")="N/A",UPPER(I6&amp;"")="NOT TESTED"),K6="")</formula>
    </cfRule>
  </conditionalFormatting>
  <dataValidations count="1">
    <dataValidation type="list" allowBlank="1" showInputMessage="1" showErrorMessage="1" errorTitle="Score" error="Use 3, 2, 1, 0, N/A, or Not tested." promptTitle="Score" prompt="3 strong, 2 met, 1 partly met, 0 not met. N/A and Not tested only where the columns say Yes." sqref="I6:I47" xr:uid="{00000000-0002-0000-0200-000000000000}">
      <formula1>"3,2,1,0,N/A,Not tested"</formula1>
    </dataValidation>
  </dataValidations>
  <printOptions horizontalCentered="1"/>
  <pageMargins left="0.4" right="0.4" top="0.55000000000000004" bottom="0.45" header="0.22" footer="0.25"/>
  <pageSetup paperSize="3" fitToHeight="0" orientation="landscape"/>
  <headerFooter>
    <oddHeader>&amp;LGIAS 2024 report evaluation&amp;R&amp;"Calibri"&amp;9 Majid Mumtaz, CIA, ACA, FCCA</oddHeader>
    <oddFooter>&amp;LYellow cells are inputs. Scores follow the Global Internal Audit Standards (2024).&amp;RPage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A6B2F"/>
    <pageSetUpPr fitToPage="1"/>
  </sheetPr>
  <dimension ref="A1:L39"/>
  <sheetViews>
    <sheetView showGridLines="0" workbookViewId="0">
      <pane ySplit="7" topLeftCell="A8" activePane="bottomLeft" state="frozen"/>
      <selection pane="bottomLeft"/>
    </sheetView>
  </sheetViews>
  <sheetFormatPr defaultRowHeight="14.5" x14ac:dyDescent="0.35"/>
  <cols>
    <col min="1" max="1" width="32" customWidth="1"/>
    <col min="2" max="3" width="16" customWidth="1"/>
    <col min="4" max="4" width="22" customWidth="1"/>
    <col min="5" max="5" width="32" customWidth="1"/>
    <col min="6" max="6" width="22" customWidth="1"/>
    <col min="7" max="7" width="18" customWidth="1"/>
    <col min="8" max="8" width="22" customWidth="1"/>
    <col min="9" max="9" width="24" customWidth="1"/>
    <col min="10" max="10" width="28" customWidth="1"/>
    <col min="11" max="11" width="16" customWidth="1"/>
  </cols>
  <sheetData>
    <row r="1" spans="1:12" ht="26" x14ac:dyDescent="0.6">
      <c r="A1" s="78" t="s">
        <v>284</v>
      </c>
      <c r="B1" s="79"/>
      <c r="C1" s="79"/>
      <c r="D1" s="79"/>
      <c r="E1" s="79"/>
      <c r="F1" s="79"/>
      <c r="G1" s="79"/>
      <c r="H1" s="79"/>
      <c r="I1" s="79"/>
      <c r="J1" s="79"/>
      <c r="K1" s="79"/>
      <c r="L1" s="79"/>
    </row>
    <row r="2" spans="1:12" ht="36" customHeight="1" x14ac:dyDescent="0.35">
      <c r="A2" s="97" t="s">
        <v>285</v>
      </c>
      <c r="B2" s="79"/>
      <c r="C2" s="79"/>
      <c r="D2" s="79"/>
      <c r="E2" s="79"/>
      <c r="F2" s="79"/>
      <c r="G2" s="79"/>
      <c r="H2" s="79"/>
      <c r="I2" s="79"/>
      <c r="J2" s="79"/>
      <c r="K2" s="79"/>
      <c r="L2" s="79"/>
    </row>
    <row r="3" spans="1:12" ht="15.5" x14ac:dyDescent="0.35">
      <c r="A3" s="108" t="str">
        <f>IF(ReportTitle="","","Report: "&amp;ReportTitle)</f>
        <v/>
      </c>
      <c r="B3" s="79"/>
      <c r="C3" s="79"/>
      <c r="D3" s="79"/>
      <c r="E3" s="79"/>
      <c r="F3" s="79"/>
      <c r="G3" s="79"/>
      <c r="H3" s="79"/>
      <c r="I3" s="79"/>
      <c r="J3" s="79"/>
      <c r="K3" s="79"/>
      <c r="L3" s="79"/>
    </row>
    <row r="5" spans="1:12" ht="18.5" x14ac:dyDescent="0.35">
      <c r="A5" s="1" t="s">
        <v>286</v>
      </c>
      <c r="B5" s="62">
        <f>COUNTA(A8:A27)</f>
        <v>0</v>
      </c>
      <c r="C5" s="1" t="s">
        <v>287</v>
      </c>
      <c r="D5" s="62">
        <f>COUNTIF(E8:E27,"N")</f>
        <v>0</v>
      </c>
      <c r="E5" s="1" t="s">
        <v>288</v>
      </c>
      <c r="F5" s="62">
        <f>COUNTIF(F8:F27,"N")</f>
        <v>0</v>
      </c>
      <c r="G5" s="1" t="s">
        <v>289</v>
      </c>
      <c r="H5" s="62" t="str">
        <f>IF(COUNT(K8:K27)=0,"—",ROUND(AVERAGE(K8:K27),2))</f>
        <v>—</v>
      </c>
    </row>
    <row r="7" spans="1:12" ht="32" customHeight="1" x14ac:dyDescent="0.35">
      <c r="A7" s="20" t="s">
        <v>290</v>
      </c>
      <c r="B7" s="20" t="s">
        <v>291</v>
      </c>
      <c r="C7" s="20" t="s">
        <v>292</v>
      </c>
      <c r="D7" s="20" t="s">
        <v>293</v>
      </c>
      <c r="E7" s="20" t="s">
        <v>294</v>
      </c>
      <c r="F7" s="20" t="s">
        <v>295</v>
      </c>
      <c r="G7" s="20" t="s">
        <v>296</v>
      </c>
      <c r="H7" s="20" t="s">
        <v>297</v>
      </c>
      <c r="I7" s="20" t="s">
        <v>298</v>
      </c>
      <c r="J7" s="20" t="s">
        <v>299</v>
      </c>
      <c r="K7" s="20" t="s">
        <v>300</v>
      </c>
    </row>
    <row r="8" spans="1:12" ht="20" customHeight="1" x14ac:dyDescent="0.35">
      <c r="A8" s="77"/>
      <c r="B8" s="77"/>
      <c r="C8" s="77"/>
      <c r="D8" s="77"/>
      <c r="E8" s="77"/>
      <c r="F8" s="77"/>
      <c r="G8" s="77"/>
      <c r="H8" s="77"/>
      <c r="I8" s="77"/>
      <c r="J8" s="77"/>
      <c r="K8" s="63" t="str">
        <f t="shared" ref="K8:K27" si="0">IF(COUNTIF(C8:I8,"Y")+COUNTIF(C8:I8,"P")+COUNTIF(C8:I8,"N")=0,"",ROUND((COUNTIF(C8:I8,"Y")*2+COUNTIF(C8:I8,"P"))/(COUNTIF(C8:I8,"Y")+COUNTIF(C8:I8,"P")+COUNTIF(C8:I8,"N")),2))</f>
        <v/>
      </c>
    </row>
    <row r="9" spans="1:12" ht="20" customHeight="1" x14ac:dyDescent="0.35">
      <c r="A9" s="77"/>
      <c r="B9" s="77"/>
      <c r="C9" s="77"/>
      <c r="D9" s="77"/>
      <c r="E9" s="77"/>
      <c r="F9" s="77"/>
      <c r="G9" s="77"/>
      <c r="H9" s="77"/>
      <c r="I9" s="77"/>
      <c r="J9" s="77"/>
      <c r="K9" s="63" t="str">
        <f t="shared" si="0"/>
        <v/>
      </c>
    </row>
    <row r="10" spans="1:12" ht="20" customHeight="1" x14ac:dyDescent="0.35">
      <c r="A10" s="77"/>
      <c r="B10" s="77"/>
      <c r="C10" s="77"/>
      <c r="D10" s="77"/>
      <c r="E10" s="77"/>
      <c r="F10" s="77"/>
      <c r="G10" s="77"/>
      <c r="H10" s="77"/>
      <c r="I10" s="77"/>
      <c r="J10" s="77"/>
      <c r="K10" s="63" t="str">
        <f t="shared" si="0"/>
        <v/>
      </c>
    </row>
    <row r="11" spans="1:12" ht="20" customHeight="1" x14ac:dyDescent="0.35">
      <c r="A11" s="77"/>
      <c r="B11" s="77"/>
      <c r="C11" s="77"/>
      <c r="D11" s="77"/>
      <c r="E11" s="77"/>
      <c r="F11" s="77"/>
      <c r="G11" s="77"/>
      <c r="H11" s="77"/>
      <c r="I11" s="77"/>
      <c r="J11" s="77"/>
      <c r="K11" s="63" t="str">
        <f t="shared" si="0"/>
        <v/>
      </c>
    </row>
    <row r="12" spans="1:12" ht="20" customHeight="1" x14ac:dyDescent="0.35">
      <c r="A12" s="77"/>
      <c r="B12" s="77"/>
      <c r="C12" s="77"/>
      <c r="D12" s="77"/>
      <c r="E12" s="77"/>
      <c r="F12" s="77"/>
      <c r="G12" s="77"/>
      <c r="H12" s="77"/>
      <c r="I12" s="77"/>
      <c r="J12" s="77"/>
      <c r="K12" s="63" t="str">
        <f t="shared" si="0"/>
        <v/>
      </c>
    </row>
    <row r="13" spans="1:12" ht="20" customHeight="1" x14ac:dyDescent="0.35">
      <c r="A13" s="77"/>
      <c r="B13" s="77"/>
      <c r="C13" s="77"/>
      <c r="D13" s="77"/>
      <c r="E13" s="77"/>
      <c r="F13" s="77"/>
      <c r="G13" s="77"/>
      <c r="H13" s="77"/>
      <c r="I13" s="77"/>
      <c r="J13" s="77"/>
      <c r="K13" s="63" t="str">
        <f t="shared" si="0"/>
        <v/>
      </c>
    </row>
    <row r="14" spans="1:12" ht="20" customHeight="1" x14ac:dyDescent="0.35">
      <c r="A14" s="77"/>
      <c r="B14" s="77"/>
      <c r="C14" s="77"/>
      <c r="D14" s="77"/>
      <c r="E14" s="77"/>
      <c r="F14" s="77"/>
      <c r="G14" s="77"/>
      <c r="H14" s="77"/>
      <c r="I14" s="77"/>
      <c r="J14" s="77"/>
      <c r="K14" s="63" t="str">
        <f t="shared" si="0"/>
        <v/>
      </c>
    </row>
    <row r="15" spans="1:12" ht="20" customHeight="1" x14ac:dyDescent="0.35">
      <c r="A15" s="77"/>
      <c r="B15" s="77"/>
      <c r="C15" s="77"/>
      <c r="D15" s="77"/>
      <c r="E15" s="77"/>
      <c r="F15" s="77"/>
      <c r="G15" s="77"/>
      <c r="H15" s="77"/>
      <c r="I15" s="77"/>
      <c r="J15" s="77"/>
      <c r="K15" s="63" t="str">
        <f t="shared" si="0"/>
        <v/>
      </c>
    </row>
    <row r="16" spans="1:12" ht="20" customHeight="1" x14ac:dyDescent="0.35">
      <c r="A16" s="77"/>
      <c r="B16" s="77"/>
      <c r="C16" s="77"/>
      <c r="D16" s="77"/>
      <c r="E16" s="77"/>
      <c r="F16" s="77"/>
      <c r="G16" s="77"/>
      <c r="H16" s="77"/>
      <c r="I16" s="77"/>
      <c r="J16" s="77"/>
      <c r="K16" s="63" t="str">
        <f t="shared" si="0"/>
        <v/>
      </c>
    </row>
    <row r="17" spans="1:11" ht="20" customHeight="1" x14ac:dyDescent="0.35">
      <c r="A17" s="77"/>
      <c r="B17" s="77"/>
      <c r="C17" s="77"/>
      <c r="D17" s="77"/>
      <c r="E17" s="77"/>
      <c r="F17" s="77"/>
      <c r="G17" s="77"/>
      <c r="H17" s="77"/>
      <c r="I17" s="77"/>
      <c r="J17" s="77"/>
      <c r="K17" s="63" t="str">
        <f t="shared" si="0"/>
        <v/>
      </c>
    </row>
    <row r="18" spans="1:11" ht="20" customHeight="1" x14ac:dyDescent="0.35">
      <c r="A18" s="77"/>
      <c r="B18" s="77"/>
      <c r="C18" s="77"/>
      <c r="D18" s="77"/>
      <c r="E18" s="77"/>
      <c r="F18" s="77"/>
      <c r="G18" s="77"/>
      <c r="H18" s="77"/>
      <c r="I18" s="77"/>
      <c r="J18" s="77"/>
      <c r="K18" s="63" t="str">
        <f t="shared" si="0"/>
        <v/>
      </c>
    </row>
    <row r="19" spans="1:11" ht="20" customHeight="1" x14ac:dyDescent="0.35">
      <c r="A19" s="77"/>
      <c r="B19" s="77"/>
      <c r="C19" s="77"/>
      <c r="D19" s="77"/>
      <c r="E19" s="77"/>
      <c r="F19" s="77"/>
      <c r="G19" s="77"/>
      <c r="H19" s="77"/>
      <c r="I19" s="77"/>
      <c r="J19" s="77"/>
      <c r="K19" s="63" t="str">
        <f t="shared" si="0"/>
        <v/>
      </c>
    </row>
    <row r="20" spans="1:11" ht="20" customHeight="1" x14ac:dyDescent="0.35">
      <c r="A20" s="77"/>
      <c r="B20" s="77"/>
      <c r="C20" s="77"/>
      <c r="D20" s="77"/>
      <c r="E20" s="77"/>
      <c r="F20" s="77"/>
      <c r="G20" s="77"/>
      <c r="H20" s="77"/>
      <c r="I20" s="77"/>
      <c r="J20" s="77"/>
      <c r="K20" s="63" t="str">
        <f t="shared" si="0"/>
        <v/>
      </c>
    </row>
    <row r="21" spans="1:11" ht="20" customHeight="1" x14ac:dyDescent="0.35">
      <c r="A21" s="77"/>
      <c r="B21" s="77"/>
      <c r="C21" s="77"/>
      <c r="D21" s="77"/>
      <c r="E21" s="77"/>
      <c r="F21" s="77"/>
      <c r="G21" s="77"/>
      <c r="H21" s="77"/>
      <c r="I21" s="77"/>
      <c r="J21" s="77"/>
      <c r="K21" s="63" t="str">
        <f t="shared" si="0"/>
        <v/>
      </c>
    </row>
    <row r="22" spans="1:11" ht="20" customHeight="1" x14ac:dyDescent="0.35">
      <c r="A22" s="77"/>
      <c r="B22" s="77"/>
      <c r="C22" s="77"/>
      <c r="D22" s="77"/>
      <c r="E22" s="77"/>
      <c r="F22" s="77"/>
      <c r="G22" s="77"/>
      <c r="H22" s="77"/>
      <c r="I22" s="77"/>
      <c r="J22" s="77"/>
      <c r="K22" s="63" t="str">
        <f t="shared" si="0"/>
        <v/>
      </c>
    </row>
    <row r="23" spans="1:11" ht="20" customHeight="1" x14ac:dyDescent="0.35">
      <c r="A23" s="77"/>
      <c r="B23" s="77"/>
      <c r="C23" s="77"/>
      <c r="D23" s="77"/>
      <c r="E23" s="77"/>
      <c r="F23" s="77"/>
      <c r="G23" s="77"/>
      <c r="H23" s="77"/>
      <c r="I23" s="77"/>
      <c r="J23" s="77"/>
      <c r="K23" s="63" t="str">
        <f t="shared" si="0"/>
        <v/>
      </c>
    </row>
    <row r="24" spans="1:11" ht="20" customHeight="1" x14ac:dyDescent="0.35">
      <c r="A24" s="77"/>
      <c r="B24" s="77"/>
      <c r="C24" s="77"/>
      <c r="D24" s="77"/>
      <c r="E24" s="77"/>
      <c r="F24" s="77"/>
      <c r="G24" s="77"/>
      <c r="H24" s="77"/>
      <c r="I24" s="77"/>
      <c r="J24" s="77"/>
      <c r="K24" s="63" t="str">
        <f t="shared" si="0"/>
        <v/>
      </c>
    </row>
    <row r="25" spans="1:11" ht="20" customHeight="1" x14ac:dyDescent="0.35">
      <c r="A25" s="77"/>
      <c r="B25" s="77"/>
      <c r="C25" s="77"/>
      <c r="D25" s="77"/>
      <c r="E25" s="77"/>
      <c r="F25" s="77"/>
      <c r="G25" s="77"/>
      <c r="H25" s="77"/>
      <c r="I25" s="77"/>
      <c r="J25" s="77"/>
      <c r="K25" s="63" t="str">
        <f t="shared" si="0"/>
        <v/>
      </c>
    </row>
    <row r="26" spans="1:11" ht="20" customHeight="1" x14ac:dyDescent="0.35">
      <c r="A26" s="77"/>
      <c r="B26" s="77"/>
      <c r="C26" s="77"/>
      <c r="D26" s="77"/>
      <c r="E26" s="77"/>
      <c r="F26" s="77"/>
      <c r="G26" s="77"/>
      <c r="H26" s="77"/>
      <c r="I26" s="77"/>
      <c r="J26" s="77"/>
      <c r="K26" s="63" t="str">
        <f t="shared" si="0"/>
        <v/>
      </c>
    </row>
    <row r="27" spans="1:11" ht="20" customHeight="1" x14ac:dyDescent="0.35">
      <c r="A27" s="77"/>
      <c r="B27" s="77"/>
      <c r="C27" s="77"/>
      <c r="D27" s="77"/>
      <c r="E27" s="77"/>
      <c r="F27" s="77"/>
      <c r="G27" s="77"/>
      <c r="H27" s="77"/>
      <c r="I27" s="77"/>
      <c r="J27" s="77"/>
      <c r="K27" s="63" t="str">
        <f t="shared" si="0"/>
        <v/>
      </c>
    </row>
    <row r="29" spans="1:11" ht="32" customHeight="1" x14ac:dyDescent="0.35">
      <c r="A29" s="110" t="s">
        <v>301</v>
      </c>
      <c r="B29" s="79"/>
      <c r="C29" s="79"/>
      <c r="D29" s="79"/>
      <c r="E29" s="79"/>
      <c r="F29" s="79"/>
      <c r="G29" s="79"/>
      <c r="H29" s="79"/>
      <c r="I29" s="79"/>
      <c r="J29" s="79"/>
      <c r="K29" s="79"/>
    </row>
    <row r="31" spans="1:11" ht="20" customHeight="1" x14ac:dyDescent="0.35">
      <c r="A31" s="109" t="s">
        <v>302</v>
      </c>
      <c r="B31" s="79"/>
      <c r="C31" s="79"/>
      <c r="D31" s="79"/>
      <c r="E31" s="79"/>
    </row>
    <row r="32" spans="1:11" ht="29" x14ac:dyDescent="0.35">
      <c r="A32" s="20" t="s">
        <v>303</v>
      </c>
      <c r="B32" s="20" t="s">
        <v>304</v>
      </c>
      <c r="C32" s="20" t="s">
        <v>305</v>
      </c>
      <c r="D32" s="20" t="s">
        <v>306</v>
      </c>
      <c r="E32" s="20" t="s">
        <v>307</v>
      </c>
    </row>
    <row r="33" spans="1:5" ht="28" customHeight="1" x14ac:dyDescent="0.35">
      <c r="A33" s="72" t="str">
        <f>INDEX('3. Matrix'!$A$6:$A$47,MATCH("B1",'3. Matrix'!$A$6:$A$47,0))</f>
        <v>B1</v>
      </c>
      <c r="B33" s="75" t="str">
        <f>IF(COUNTIF(C8:C27,"Y")+COUNTIF(C8:C27,"P")+COUNTIF(C8:C27,"N")=0,"",IF(COUNTIF(C8:C27,"N")=COUNTIF(C8:C27,"Y")+COUNTIF(C8:C27,"P")+COUNTIF(C8:C27,"N"),0,IF(OR(COUNTIF(C8:C27,"N")&gt;0,COUNTIF(C8:C27,"P")&gt;0),1,2)))</f>
        <v/>
      </c>
      <c r="C33" s="75">
        <f>IFERROR(INDEX('3. Matrix'!$I$6:$I$47,MATCH(A33,'3. Matrix'!$A$6:$A$47,0)),"")</f>
        <v>0</v>
      </c>
      <c r="D33" s="75" t="str">
        <f t="shared" ref="D33:D39" si="1">IF(OR(B33="",C33=""),"",IF(B33&amp;""=C33&amp;"","Yes","Check"))</f>
        <v/>
      </c>
      <c r="E33" s="75" t="str">
        <f>IFERROR(INDEX('3. Matrix'!$G$6:$G$47,MATCH(A33,'3. Matrix'!$A$6:$A$47,0)),"")</f>
        <v>13.4 Evaluation Criteria — Requirements
14.2 Analyses and Potential Engagement Findings — Requirements</v>
      </c>
    </row>
    <row r="34" spans="1:5" ht="28" customHeight="1" x14ac:dyDescent="0.35">
      <c r="A34" s="72" t="str">
        <f>INDEX('3. Matrix'!$A$6:$A$47,MATCH("C1",'3. Matrix'!$A$6:$A$47,0))</f>
        <v>C1</v>
      </c>
      <c r="B34" s="75" t="str">
        <f>IF(COUNTIF(D8:D27,"Y")+COUNTIF(D8:D27,"P")+COUNTIF(D8:D27,"N")=0,"",IF(COUNTIF(D8:D27,"N")=COUNTIF(D8:D27,"Y")+COUNTIF(D8:D27,"P")+COUNTIF(D8:D27,"N"),0,IF(OR(COUNTIF(D8:D27,"N")&gt;0,COUNTIF(D8:D27,"P")&gt;0),1,2)))</f>
        <v/>
      </c>
      <c r="C34" s="75">
        <f>IFERROR(INDEX('3. Matrix'!$I$6:$I$47,MATCH(A34,'3. Matrix'!$A$6:$A$47,0)),"")</f>
        <v>0</v>
      </c>
      <c r="D34" s="75" t="str">
        <f t="shared" si="1"/>
        <v/>
      </c>
      <c r="E34" s="75" t="str">
        <f>IFERROR(INDEX('3. Matrix'!$G$6:$G$47,MATCH(A34,'3. Matrix'!$A$6:$A$47,0)),"")</f>
        <v>14.2 Analyses and Potential Engagement Findings — Requirements</v>
      </c>
    </row>
    <row r="35" spans="1:5" ht="28" customHeight="1" x14ac:dyDescent="0.35">
      <c r="A35" s="72" t="str">
        <f>INDEX('3. Matrix'!$A$6:$A$47,MATCH("C2",'3. Matrix'!$A$6:$A$47,0))</f>
        <v>C2</v>
      </c>
      <c r="B35" s="75" t="str">
        <f>IF(COUNTIF(E8:E27,"Y")+COUNTIF(E8:E27,"P")+COUNTIF(E8:E27,"N")=0,"",IF(COUNTIF(E8:E27,"N")=COUNTIF(E8:E27,"Y")+COUNTIF(E8:E27,"P")+COUNTIF(E8:E27,"N"),0,IF(OR(COUNTIF(E8:E27,"N")&gt;0,COUNTIF(E8:E27,"P")&gt;0),1,2)))</f>
        <v/>
      </c>
      <c r="C35" s="75">
        <f>IFERROR(INDEX('3. Matrix'!$I$6:$I$47,MATCH(A35,'3. Matrix'!$A$6:$A$47,0)),"")</f>
        <v>0</v>
      </c>
      <c r="D35" s="75" t="str">
        <f t="shared" si="1"/>
        <v/>
      </c>
      <c r="E35" s="75" t="str">
        <f>IFERROR(INDEX('3. Matrix'!$G$6:$G$47,MATCH(A35,'3. Matrix'!$A$6:$A$47,0)),"")</f>
        <v>14.3 Evaluation of Findings — Requirements</v>
      </c>
    </row>
    <row r="36" spans="1:5" ht="28" customHeight="1" x14ac:dyDescent="0.35">
      <c r="A36" s="72" t="str">
        <f>INDEX('3. Matrix'!$A$6:$A$47,MATCH("C3",'3. Matrix'!$A$6:$A$47,0))</f>
        <v>C3</v>
      </c>
      <c r="B36" s="75" t="str">
        <f>IF(COUNTIF(F8:F27,"Y")+COUNTIF(F8:F27,"P")+COUNTIF(F8:F27,"N")=0,"",IF(COUNTIF(F8:F27,"N")=COUNTIF(F8:F27,"Y")+COUNTIF(F8:F27,"P")+COUNTIF(F8:F27,"N"),0,IF(OR(COUNTIF(F8:F27,"N")&gt;0,COUNTIF(F8:F27,"P")&gt;0),1,2)))</f>
        <v/>
      </c>
      <c r="C36" s="75">
        <f>IFERROR(INDEX('3. Matrix'!$I$6:$I$47,MATCH(A36,'3. Matrix'!$A$6:$A$47,0)),"")</f>
        <v>0</v>
      </c>
      <c r="D36" s="75" t="str">
        <f t="shared" si="1"/>
        <v/>
      </c>
      <c r="E36" s="75" t="str">
        <f>IFERROR(INDEX('3. Matrix'!$G$6:$G$47,MATCH(A36,'3. Matrix'!$A$6:$A$47,0)),"")</f>
        <v>14.3 Evaluation of Findings — Requirements</v>
      </c>
    </row>
    <row r="37" spans="1:5" ht="28" customHeight="1" x14ac:dyDescent="0.35">
      <c r="A37" s="72" t="str">
        <f>INDEX('3. Matrix'!$A$6:$A$47,MATCH("C4",'3. Matrix'!$A$6:$A$47,0))</f>
        <v>C4</v>
      </c>
      <c r="B37" s="75" t="str">
        <f>IF(COUNTIF(G8:G27,"Y")+COUNTIF(G8:G27,"P")+COUNTIF(G8:G27,"N")=0,"",IF(COUNTIF(G8:G27,"N")=COUNTIF(G8:G27,"Y")+COUNTIF(G8:G27,"P")+COUNTIF(G8:G27,"N"),0,IF(OR(COUNTIF(G8:G27,"N")&gt;0,COUNTIF(G8:G27,"P")&gt;0),1,2)))</f>
        <v/>
      </c>
      <c r="C37" s="75">
        <f>IFERROR(INDEX('3. Matrix'!$I$6:$I$47,MATCH(A37,'3. Matrix'!$A$6:$A$47,0)),"")</f>
        <v>0</v>
      </c>
      <c r="D37" s="75" t="str">
        <f t="shared" si="1"/>
        <v/>
      </c>
      <c r="E37" s="75" t="str">
        <f>IFERROR(INDEX('3. Matrix'!$G$6:$G$47,MATCH(A37,'3. Matrix'!$A$6:$A$47,0)),"")</f>
        <v>14.3 Evaluation of Findings — Requirements
15.1 Final Engagement Communication — Requirements</v>
      </c>
    </row>
    <row r="38" spans="1:5" ht="28" customHeight="1" x14ac:dyDescent="0.35">
      <c r="A38" s="72" t="str">
        <f>INDEX('3. Matrix'!$A$6:$A$47,MATCH("C5",'3. Matrix'!$A$6:$A$47,0))</f>
        <v>C5</v>
      </c>
      <c r="B38" s="75" t="str">
        <f>IF(COUNTIF(H8:H27,"Y")+COUNTIF(H8:H27,"P")+COUNTIF(H8:H27,"N")=0,"",IF(COUNTIF(H8:H27,"N")=COUNTIF(H8:H27,"Y")+COUNTIF(H8:H27,"P")+COUNTIF(H8:H27,"N"),0,IF(OR(COUNTIF(H8:H27,"N")&gt;0,COUNTIF(H8:H27,"P")&gt;0),1,2)))</f>
        <v/>
      </c>
      <c r="C38" s="75">
        <f>IFERROR(INDEX('3. Matrix'!$I$6:$I$47,MATCH(A38,'3. Matrix'!$A$6:$A$47,0)),"")</f>
        <v>0</v>
      </c>
      <c r="D38" s="75" t="str">
        <f t="shared" si="1"/>
        <v/>
      </c>
      <c r="E38" s="75" t="str">
        <f>IFERROR(INDEX('3. Matrix'!$G$6:$G$47,MATCH(A38,'3. Matrix'!$A$6:$A$47,0)),"")</f>
        <v>14.1 Gathering Information for Analyses and Evaluation — Requirements
11.2 Effective Communication — Requirements</v>
      </c>
    </row>
    <row r="39" spans="1:5" ht="28" customHeight="1" x14ac:dyDescent="0.35">
      <c r="A39" s="72" t="str">
        <f>INDEX('3. Matrix'!$A$6:$A$47,MATCH("D1",'3. Matrix'!$A$6:$A$47,0))</f>
        <v>D1</v>
      </c>
      <c r="B39" s="75" t="str">
        <f>IF(COUNTIF(I8:I27,"Y")+COUNTIF(I8:I27,"P")+COUNTIF(I8:I27,"N")=0,"",IF(COUNTIF(I8:I27,"N")=COUNTIF(I8:I27,"Y")+COUNTIF(I8:I27,"P")+COUNTIF(I8:I27,"N"),0,IF(OR(COUNTIF(I8:I27,"N")&gt;0,COUNTIF(I8:I27,"P")&gt;0),1,2)))</f>
        <v/>
      </c>
      <c r="C39" s="75">
        <f>IFERROR(INDEX('3. Matrix'!$I$6:$I$47,MATCH(A39,'3. Matrix'!$A$6:$A$47,0)),"")</f>
        <v>0</v>
      </c>
      <c r="D39" s="75" t="str">
        <f t="shared" si="1"/>
        <v/>
      </c>
      <c r="E39" s="75" t="str">
        <f>IFERROR(INDEX('3. Matrix'!$G$6:$G$47,MATCH(A39,'3. Matrix'!$A$6:$A$47,0)),"")</f>
        <v>14.4 Recommendations and Action Plans — Requirements
15.1 Final Engagement Communication — Requirements</v>
      </c>
    </row>
  </sheetData>
  <sheetProtection sheet="1" insertColumns="0" insertRows="0" deleteColumns="0" deleteRows="0" selectLockedCells="1" selectUnlockedCells="1"/>
  <autoFilter ref="A7:K27" xr:uid="{00000000-0009-0000-0000-000003000000}"/>
  <mergeCells count="5">
    <mergeCell ref="A2:L2"/>
    <mergeCell ref="A29:K29"/>
    <mergeCell ref="A1:L1"/>
    <mergeCell ref="A31:E31"/>
    <mergeCell ref="A3:L3"/>
  </mergeCells>
  <conditionalFormatting sqref="C8:I27">
    <cfRule type="expression" dxfId="8" priority="1">
      <formula>C8="Y"</formula>
    </cfRule>
    <cfRule type="expression" dxfId="7" priority="2">
      <formula>C8="P"</formula>
    </cfRule>
    <cfRule type="expression" dxfId="6" priority="3">
      <formula>C8="N"</formula>
    </cfRule>
  </conditionalFormatting>
  <dataValidations count="2">
    <dataValidation type="list" allowBlank="1" sqref="C8:I27" xr:uid="{00000000-0002-0000-0300-000000000000}">
      <formula1>"Y,P,N"</formula1>
    </dataValidation>
    <dataValidation type="list" allowBlank="1" sqref="B8:B27" xr:uid="{00000000-0002-0000-0300-000001000000}">
      <formula1>"Critical,High,Medium,Low,Not rated"</formula1>
    </dataValidation>
  </dataValidations>
  <printOptions horizontalCentered="1"/>
  <pageMargins left="0.5" right="0.5" top="0.55000000000000004" bottom="0.5" header="0.25" footer="0.25"/>
  <pageSetup paperSize="3" fitToHeight="0" orientation="landscape"/>
  <headerFooter>
    <oddHeader>&amp;R&amp;"Calibri"&amp;9 Majid Mumtaz, CIA, ACA, FCCA</oddHeader>
    <oddFooter>&amp;LSupports the Findings lines. Does not change the issue decision by itself.&amp;RPage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B4332"/>
    <pageSetUpPr fitToPage="1"/>
  </sheetPr>
  <dimension ref="B2:G44"/>
  <sheetViews>
    <sheetView showGridLines="0" zoomScale="110" workbookViewId="0">
      <pane xSplit="1" ySplit="11" topLeftCell="B12" activePane="bottomRight" state="frozen"/>
      <selection pane="topRight"/>
      <selection pane="bottomLeft"/>
      <selection pane="bottomRight"/>
    </sheetView>
  </sheetViews>
  <sheetFormatPr defaultRowHeight="14.5" x14ac:dyDescent="0.35"/>
  <cols>
    <col min="1" max="1" width="3" customWidth="1"/>
    <col min="2" max="2" width="36" customWidth="1"/>
    <col min="3" max="3" width="22" customWidth="1"/>
    <col min="4" max="4" width="16" customWidth="1"/>
    <col min="5" max="5" width="22" customWidth="1"/>
    <col min="6" max="6" width="18" customWidth="1"/>
    <col min="7" max="7" width="42" customWidth="1"/>
  </cols>
  <sheetData>
    <row r="2" spans="2:7" ht="26" customHeight="1" x14ac:dyDescent="0.6">
      <c r="B2" s="78" t="s">
        <v>308</v>
      </c>
      <c r="C2" s="79"/>
      <c r="D2" s="79"/>
      <c r="E2" s="79"/>
      <c r="F2" s="79"/>
      <c r="G2" s="79"/>
    </row>
    <row r="3" spans="2:7" ht="15.5" x14ac:dyDescent="0.35">
      <c r="B3" s="108" t="str">
        <f>IF(ReportTitle="","Complete 2. Details and 3. Matrix.","Report: "&amp;ReportTitle&amp;IF(Organisation="","","  |  "&amp;Organisation)&amp;IF(Reviewer="","","  |  "&amp;Reviewer)&amp;IF(ReviewDate="","","  |  "&amp;ReviewDate))</f>
        <v>Complete 2. Details and 3. Matrix.</v>
      </c>
      <c r="C3" s="79"/>
      <c r="D3" s="79"/>
      <c r="E3" s="79"/>
      <c r="F3" s="79"/>
      <c r="G3" s="79"/>
    </row>
    <row r="5" spans="2:7" x14ac:dyDescent="0.35">
      <c r="B5" s="100" t="s">
        <v>29</v>
      </c>
      <c r="C5" s="79"/>
      <c r="E5" s="1" t="s">
        <v>309</v>
      </c>
      <c r="F5" s="1" t="s">
        <v>310</v>
      </c>
      <c r="G5" s="1" t="s">
        <v>311</v>
      </c>
    </row>
    <row r="6" spans="2:7" ht="24" customHeight="1" x14ac:dyDescent="0.35">
      <c r="B6" s="116" t="str">
        <f>IF(EngagementType="Not an engagement report","Outside this matrix",IF(DocStatus="Draft","Draft — "&amp;IF(SUM(ScoredFlags)=0,"Not started",IF(OR(SUM(MustFail)&gt;0,SUM(MustBlank)&gt;0,SUM(InvalidNA)&gt;0,SUM(InvalidNT)&gt;0,SUM(InvalidScore)&gt;0),"Withhold",IF(OR(SUM(MustPartial)&gt;0,SUM(ShouldFail)&gt;=3),"Revise before issue",IF(OR(SUM(ShouldFail)&gt;0,SUM(ShouldPartial)&gt;0),"Accept, and record the gaps","Accept")))),IF(SUM(ScoredFlags)=0,"Not started",IF(OR(SUM(MustFail)&gt;0,SUM(MustBlank)&gt;0,SUM(InvalidNA)&gt;0,SUM(InvalidNT)&gt;0,SUM(InvalidScore)&gt;0),"Withhold",IF(OR(SUM(MustPartial)&gt;0,SUM(ShouldFail)&gt;=3),"Revise before issue",IF(OR(SUM(ShouldFail)&gt;0,SUM(ShouldPartial)&gt;0),"Accept, and record the gaps","Accept"))))))</f>
        <v>Not started</v>
      </c>
      <c r="C6" s="117"/>
      <c r="E6" s="122" t="str">
        <f>IF(SUMIF(AxisCol,"Findings",MaxPoints)=0,"—",TEXT(SUMIF(AxisCol,"Findings",Points)/SUMIF(AxisCol,"Findings",MaxPoints),"0%"))</f>
        <v>—</v>
      </c>
      <c r="F6" s="122" t="str">
        <f>IF(SUMIF(AxisCol,"Close",MaxPoints)=0,"—",TEXT(SUMIF(AxisCol,"Close",Points)/SUMIF(AxisCol,"Close",MaxPoints),"0%"))</f>
        <v>—</v>
      </c>
      <c r="G6" s="122" t="str">
        <f>IF(SUM(MaxPoints)=0,"—",TEXT(SUM(Points)/SUM(MaxPoints),"0%"))</f>
        <v>—</v>
      </c>
    </row>
    <row r="7" spans="2:7" ht="24" customHeight="1" x14ac:dyDescent="0.35">
      <c r="B7" s="118"/>
      <c r="C7" s="119"/>
      <c r="E7" s="123"/>
      <c r="F7" s="123"/>
      <c r="G7" s="123"/>
    </row>
    <row r="8" spans="2:7" ht="32" customHeight="1" x14ac:dyDescent="0.35">
      <c r="B8" s="97" t="str">
        <f>IF(AND(SUM(ScoredFlags)&gt;0,OR(INDEX('3. Matrix'!$I$6:$I$47,MATCH("G6",'3. Matrix'!$A$6:$A$47,0))="",INDEX('3. Matrix'!$I$6:$I$47,MATCH("G7",'3. Matrix'!$A$6:$A$47,0))="")),"G6 and G7 are N/A on an ordinary engagement. A blank on either line withholds the report. Use N/A unless this document corrects a significant error, or shows risk accepted above appetite.","")</f>
        <v/>
      </c>
      <c r="C8" s="79"/>
      <c r="D8" s="79"/>
      <c r="E8" s="79"/>
      <c r="F8" s="79"/>
      <c r="G8" s="79"/>
    </row>
    <row r="9" spans="2:7" ht="28" customHeight="1" x14ac:dyDescent="0.35">
      <c r="B9" s="110" t="str">
        <f>IF(UPPER(TRIM(INDEX('3. Matrix'!$I$6:$I$47,MATCH("G1",'3. Matrix'!$A$6:$A$47,0))&amp;""))="NOT TESTED","Approval was not tested. Standard 15.1 still requires the chief audit executive to approve the communication before issue.","")</f>
        <v/>
      </c>
      <c r="C9" s="79"/>
      <c r="D9" s="79"/>
      <c r="E9" s="79"/>
      <c r="F9" s="79"/>
      <c r="G9" s="79"/>
    </row>
    <row r="10" spans="2:7" ht="48" customHeight="1" x14ac:dyDescent="0.35">
      <c r="B10" s="97" t="s">
        <v>312</v>
      </c>
      <c r="C10" s="79"/>
      <c r="D10" s="79"/>
      <c r="E10" s="79"/>
      <c r="F10" s="79"/>
      <c r="G10" s="79"/>
    </row>
    <row r="12" spans="2:7" x14ac:dyDescent="0.35">
      <c r="B12" s="19" t="s">
        <v>313</v>
      </c>
      <c r="C12" s="19" t="s">
        <v>314</v>
      </c>
      <c r="D12" s="107" t="s">
        <v>295</v>
      </c>
      <c r="E12" s="79"/>
      <c r="F12" s="79"/>
      <c r="G12" s="79"/>
    </row>
    <row r="13" spans="2:7" ht="20" customHeight="1" x14ac:dyDescent="0.35">
      <c r="B13" s="18" t="s">
        <v>315</v>
      </c>
      <c r="C13" s="64">
        <f>SUM(MustFail)</f>
        <v>0</v>
      </c>
      <c r="D13" s="96" t="s">
        <v>316</v>
      </c>
      <c r="E13" s="82"/>
      <c r="F13" s="82"/>
      <c r="G13" s="83"/>
    </row>
    <row r="14" spans="2:7" ht="20" customHeight="1" x14ac:dyDescent="0.35">
      <c r="B14" s="17" t="s">
        <v>317</v>
      </c>
      <c r="C14" s="65">
        <f>SUM(MustBlank)</f>
        <v>28</v>
      </c>
      <c r="D14" s="86" t="s">
        <v>318</v>
      </c>
      <c r="E14" s="82"/>
      <c r="F14" s="82"/>
      <c r="G14" s="83"/>
    </row>
    <row r="15" spans="2:7" ht="20" customHeight="1" x14ac:dyDescent="0.35">
      <c r="B15" s="18" t="s">
        <v>319</v>
      </c>
      <c r="C15" s="64">
        <f>SUM(InvalidNA)</f>
        <v>0</v>
      </c>
      <c r="D15" s="96" t="s">
        <v>320</v>
      </c>
      <c r="E15" s="82"/>
      <c r="F15" s="82"/>
      <c r="G15" s="83"/>
    </row>
    <row r="16" spans="2:7" ht="20" customHeight="1" x14ac:dyDescent="0.35">
      <c r="B16" s="17" t="s">
        <v>321</v>
      </c>
      <c r="C16" s="65">
        <f>SUM(InvalidNT)</f>
        <v>0</v>
      </c>
      <c r="D16" s="86" t="s">
        <v>320</v>
      </c>
      <c r="E16" s="82"/>
      <c r="F16" s="82"/>
      <c r="G16" s="83"/>
    </row>
    <row r="17" spans="2:7" ht="20" customHeight="1" x14ac:dyDescent="0.35">
      <c r="B17" s="18" t="s">
        <v>322</v>
      </c>
      <c r="C17" s="64">
        <f>SUM(MustPartial)</f>
        <v>0</v>
      </c>
      <c r="D17" s="96" t="s">
        <v>323</v>
      </c>
      <c r="E17" s="82"/>
      <c r="F17" s="82"/>
      <c r="G17" s="83"/>
    </row>
    <row r="18" spans="2:7" ht="20" customHeight="1" x14ac:dyDescent="0.35">
      <c r="B18" s="17" t="s">
        <v>324</v>
      </c>
      <c r="C18" s="65">
        <f>SUM(ShouldFail)</f>
        <v>0</v>
      </c>
      <c r="D18" s="86" t="s">
        <v>325</v>
      </c>
      <c r="E18" s="82"/>
      <c r="F18" s="82"/>
      <c r="G18" s="83"/>
    </row>
    <row r="19" spans="2:7" ht="20" customHeight="1" x14ac:dyDescent="0.35">
      <c r="B19" s="18" t="s">
        <v>326</v>
      </c>
      <c r="C19" s="64">
        <f>SUM(ShouldPartial)</f>
        <v>0</v>
      </c>
      <c r="D19" s="96" t="s">
        <v>327</v>
      </c>
      <c r="E19" s="82"/>
      <c r="F19" s="82"/>
      <c r="G19" s="83"/>
    </row>
    <row r="20" spans="2:7" ht="20" customHeight="1" x14ac:dyDescent="0.35">
      <c r="B20" s="17" t="s">
        <v>328</v>
      </c>
      <c r="C20" s="65" t="str">
        <f>SUM(ScoredFlags)&amp;" of "&amp;ROWS(ScoredFlags)</f>
        <v>0 of 42</v>
      </c>
      <c r="D20" s="86" t="s">
        <v>329</v>
      </c>
      <c r="E20" s="82"/>
      <c r="F20" s="82"/>
      <c r="G20" s="83"/>
    </row>
    <row r="21" spans="2:7" ht="20" customHeight="1" x14ac:dyDescent="0.35">
      <c r="B21" s="17" t="s">
        <v>330</v>
      </c>
      <c r="C21" s="65">
        <f>SUM(InvalidScore)</f>
        <v>0</v>
      </c>
      <c r="D21" s="86" t="s">
        <v>331</v>
      </c>
      <c r="E21" s="82"/>
      <c r="F21" s="82"/>
      <c r="G21" s="83"/>
    </row>
    <row r="22" spans="2:7" x14ac:dyDescent="0.35">
      <c r="B22" s="2" t="s">
        <v>94</v>
      </c>
      <c r="C22" s="2" t="s">
        <v>104</v>
      </c>
      <c r="D22" s="2" t="s">
        <v>332</v>
      </c>
      <c r="E22" s="2" t="s">
        <v>333</v>
      </c>
      <c r="F22" s="124" t="s">
        <v>334</v>
      </c>
      <c r="G22" s="79"/>
    </row>
    <row r="23" spans="2:7" ht="20" customHeight="1" x14ac:dyDescent="0.35">
      <c r="B23" s="18" t="s">
        <v>138</v>
      </c>
      <c r="C23" s="66">
        <f>SUMIF(AxisCol,B23,Points)</f>
        <v>0</v>
      </c>
      <c r="D23" s="66">
        <f>SUMIF(AxisCol,B23,MaxPoints)</f>
        <v>0</v>
      </c>
      <c r="E23" s="66" t="str">
        <f>IF(D23=0,"—",TEXT(C23/D23,"0%"))</f>
        <v>—</v>
      </c>
      <c r="F23" s="120">
        <f>SUMIF(AxisCol,B23,MustFail)+SUMIF(AxisCol,B23,MustPartial)</f>
        <v>0</v>
      </c>
      <c r="G23" s="83"/>
    </row>
    <row r="24" spans="2:7" ht="20" customHeight="1" x14ac:dyDescent="0.35">
      <c r="B24" s="18" t="s">
        <v>122</v>
      </c>
      <c r="C24" s="66">
        <f>SUMIF(AxisCol,B24,Points)</f>
        <v>0</v>
      </c>
      <c r="D24" s="66">
        <f>SUMIF(AxisCol,B24,MaxPoints)</f>
        <v>0</v>
      </c>
      <c r="E24" s="66" t="str">
        <f>IF(D24=0,"—",TEXT(C24/D24,"0%"))</f>
        <v>—</v>
      </c>
      <c r="F24" s="120">
        <f>SUMIF(AxisCol,B24,MustFail)+SUMIF(AxisCol,B24,MustPartial)</f>
        <v>0</v>
      </c>
      <c r="G24" s="83"/>
    </row>
    <row r="26" spans="2:7" x14ac:dyDescent="0.35">
      <c r="B26" s="125" t="s">
        <v>335</v>
      </c>
      <c r="C26" s="79"/>
      <c r="D26" s="79"/>
      <c r="E26" s="79"/>
      <c r="F26" s="79"/>
      <c r="G26" s="79"/>
    </row>
    <row r="27" spans="2:7" x14ac:dyDescent="0.35">
      <c r="B27" s="67" t="s">
        <v>92</v>
      </c>
      <c r="C27" s="67" t="s">
        <v>95</v>
      </c>
      <c r="D27" s="121" t="s">
        <v>96</v>
      </c>
      <c r="E27" s="79"/>
      <c r="F27" s="67" t="s">
        <v>9</v>
      </c>
      <c r="G27" s="67" t="s">
        <v>101</v>
      </c>
    </row>
    <row r="28" spans="2:7" ht="18" customHeight="1" x14ac:dyDescent="0.35">
      <c r="B28" s="68" t="str">
        <f>IFERROR(INDEX('3. Matrix'!$A$6:$A$47,MATCH(1,'3. Matrix'!$Z$6:$Z$47,0)),"")</f>
        <v/>
      </c>
      <c r="C28" s="68" t="str">
        <f>IF(B28="","",INDEX('3. Matrix'!$D$6:$D$47,MATCH(1,'3. Matrix'!$Z$6:$Z$47,0)))</f>
        <v/>
      </c>
      <c r="D28" s="115" t="str">
        <f>IF(B28="","",INDEX('3. Matrix'!$E$6:$E$47,MATCH(1,'3. Matrix'!$Z$6:$Z$47,0)))</f>
        <v/>
      </c>
      <c r="E28" s="83"/>
      <c r="F28" s="68" t="str">
        <f>IF(B28="","",INDEX('3. Matrix'!$I$6:$I$47,MATCH(1,'3. Matrix'!$Z$6:$Z$47,0)))</f>
        <v/>
      </c>
      <c r="G28" s="68" t="str">
        <f>IF(B28="","",INDEX('3. Matrix'!$K$6:$K$47,MATCH(1,'3. Matrix'!$Z$6:$Z$47,0)))</f>
        <v/>
      </c>
    </row>
    <row r="29" spans="2:7" ht="18" customHeight="1" x14ac:dyDescent="0.35">
      <c r="B29" s="68" t="str">
        <f>IFERROR(INDEX('3. Matrix'!$A$6:$A$47,MATCH(2,'3. Matrix'!$Z$6:$Z$47,0)),"")</f>
        <v/>
      </c>
      <c r="C29" s="68" t="str">
        <f>IF(B29="","",INDEX('3. Matrix'!$D$6:$D$47,MATCH(2,'3. Matrix'!$Z$6:$Z$47,0)))</f>
        <v/>
      </c>
      <c r="D29" s="115" t="str">
        <f>IF(B29="","",INDEX('3. Matrix'!$E$6:$E$47,MATCH(2,'3. Matrix'!$Z$6:$Z$47,0)))</f>
        <v/>
      </c>
      <c r="E29" s="83"/>
      <c r="F29" s="68" t="str">
        <f>IF(B29="","",INDEX('3. Matrix'!$I$6:$I$47,MATCH(2,'3. Matrix'!$Z$6:$Z$47,0)))</f>
        <v/>
      </c>
      <c r="G29" s="68" t="str">
        <f>IF(B29="","",INDEX('3. Matrix'!$K$6:$K$47,MATCH(2,'3. Matrix'!$Z$6:$Z$47,0)))</f>
        <v/>
      </c>
    </row>
    <row r="30" spans="2:7" ht="18" customHeight="1" x14ac:dyDescent="0.35">
      <c r="B30" s="68" t="str">
        <f>IFERROR(INDEX('3. Matrix'!$A$6:$A$47,MATCH(3,'3. Matrix'!$Z$6:$Z$47,0)),"")</f>
        <v/>
      </c>
      <c r="C30" s="68" t="str">
        <f>IF(B30="","",INDEX('3. Matrix'!$D$6:$D$47,MATCH(3,'3. Matrix'!$Z$6:$Z$47,0)))</f>
        <v/>
      </c>
      <c r="D30" s="115" t="str">
        <f>IF(B30="","",INDEX('3. Matrix'!$E$6:$E$47,MATCH(3,'3. Matrix'!$Z$6:$Z$47,0)))</f>
        <v/>
      </c>
      <c r="E30" s="83"/>
      <c r="F30" s="68" t="str">
        <f>IF(B30="","",INDEX('3. Matrix'!$I$6:$I$47,MATCH(3,'3. Matrix'!$Z$6:$Z$47,0)))</f>
        <v/>
      </c>
      <c r="G30" s="68" t="str">
        <f>IF(B30="","",INDEX('3. Matrix'!$K$6:$K$47,MATCH(3,'3. Matrix'!$Z$6:$Z$47,0)))</f>
        <v/>
      </c>
    </row>
    <row r="31" spans="2:7" ht="18" customHeight="1" x14ac:dyDescent="0.35">
      <c r="B31" s="68" t="str">
        <f>IFERROR(INDEX('3. Matrix'!$A$6:$A$47,MATCH(4,'3. Matrix'!$Z$6:$Z$47,0)),"")</f>
        <v/>
      </c>
      <c r="C31" s="68" t="str">
        <f>IF(B31="","",INDEX('3. Matrix'!$D$6:$D$47,MATCH(4,'3. Matrix'!$Z$6:$Z$47,0)))</f>
        <v/>
      </c>
      <c r="D31" s="115" t="str">
        <f>IF(B31="","",INDEX('3. Matrix'!$E$6:$E$47,MATCH(4,'3. Matrix'!$Z$6:$Z$47,0)))</f>
        <v/>
      </c>
      <c r="E31" s="83"/>
      <c r="F31" s="68" t="str">
        <f>IF(B31="","",INDEX('3. Matrix'!$I$6:$I$47,MATCH(4,'3. Matrix'!$Z$6:$Z$47,0)))</f>
        <v/>
      </c>
      <c r="G31" s="68" t="str">
        <f>IF(B31="","",INDEX('3. Matrix'!$K$6:$K$47,MATCH(4,'3. Matrix'!$Z$6:$Z$47,0)))</f>
        <v/>
      </c>
    </row>
    <row r="32" spans="2:7" ht="18" customHeight="1" x14ac:dyDescent="0.35">
      <c r="B32" s="68" t="str">
        <f>IFERROR(INDEX('3. Matrix'!$A$6:$A$47,MATCH(5,'3. Matrix'!$Z$6:$Z$47,0)),"")</f>
        <v/>
      </c>
      <c r="C32" s="68" t="str">
        <f>IF(B32="","",INDEX('3. Matrix'!$D$6:$D$47,MATCH(5,'3. Matrix'!$Z$6:$Z$47,0)))</f>
        <v/>
      </c>
      <c r="D32" s="115" t="str">
        <f>IF(B32="","",INDEX('3. Matrix'!$E$6:$E$47,MATCH(5,'3. Matrix'!$Z$6:$Z$47,0)))</f>
        <v/>
      </c>
      <c r="E32" s="83"/>
      <c r="F32" s="68" t="str">
        <f>IF(B32="","",INDEX('3. Matrix'!$I$6:$I$47,MATCH(5,'3. Matrix'!$Z$6:$Z$47,0)))</f>
        <v/>
      </c>
      <c r="G32" s="68" t="str">
        <f>IF(B32="","",INDEX('3. Matrix'!$K$6:$K$47,MATCH(5,'3. Matrix'!$Z$6:$Z$47,0)))</f>
        <v/>
      </c>
    </row>
    <row r="33" spans="2:7" ht="18" customHeight="1" x14ac:dyDescent="0.35">
      <c r="B33" s="68" t="str">
        <f>IFERROR(INDEX('3. Matrix'!$A$6:$A$47,MATCH(6,'3. Matrix'!$Z$6:$Z$47,0)),"")</f>
        <v/>
      </c>
      <c r="C33" s="68" t="str">
        <f>IF(B33="","",INDEX('3. Matrix'!$D$6:$D$47,MATCH(6,'3. Matrix'!$Z$6:$Z$47,0)))</f>
        <v/>
      </c>
      <c r="D33" s="115" t="str">
        <f>IF(B33="","",INDEX('3. Matrix'!$E$6:$E$47,MATCH(6,'3. Matrix'!$Z$6:$Z$47,0)))</f>
        <v/>
      </c>
      <c r="E33" s="83"/>
      <c r="F33" s="68" t="str">
        <f>IF(B33="","",INDEX('3. Matrix'!$I$6:$I$47,MATCH(6,'3. Matrix'!$Z$6:$Z$47,0)))</f>
        <v/>
      </c>
      <c r="G33" s="68" t="str">
        <f>IF(B33="","",INDEX('3. Matrix'!$K$6:$K$47,MATCH(6,'3. Matrix'!$Z$6:$Z$47,0)))</f>
        <v/>
      </c>
    </row>
    <row r="34" spans="2:7" ht="18" customHeight="1" x14ac:dyDescent="0.35">
      <c r="B34" s="68" t="str">
        <f>IFERROR(INDEX('3. Matrix'!$A$6:$A$47,MATCH(7,'3. Matrix'!$Z$6:$Z$47,0)),"")</f>
        <v/>
      </c>
      <c r="C34" s="68" t="str">
        <f>IF(B34="","",INDEX('3. Matrix'!$D$6:$D$47,MATCH(7,'3. Matrix'!$Z$6:$Z$47,0)))</f>
        <v/>
      </c>
      <c r="D34" s="115" t="str">
        <f>IF(B34="","",INDEX('3. Matrix'!$E$6:$E$47,MATCH(7,'3. Matrix'!$Z$6:$Z$47,0)))</f>
        <v/>
      </c>
      <c r="E34" s="83"/>
      <c r="F34" s="68" t="str">
        <f>IF(B34="","",INDEX('3. Matrix'!$I$6:$I$47,MATCH(7,'3. Matrix'!$Z$6:$Z$47,0)))</f>
        <v/>
      </c>
      <c r="G34" s="68" t="str">
        <f>IF(B34="","",INDEX('3. Matrix'!$K$6:$K$47,MATCH(7,'3. Matrix'!$Z$6:$Z$47,0)))</f>
        <v/>
      </c>
    </row>
    <row r="35" spans="2:7" ht="18" customHeight="1" x14ac:dyDescent="0.35">
      <c r="B35" s="68" t="str">
        <f>IFERROR(INDEX('3. Matrix'!$A$6:$A$47,MATCH(8,'3. Matrix'!$Z$6:$Z$47,0)),"")</f>
        <v/>
      </c>
      <c r="C35" s="68" t="str">
        <f>IF(B35="","",INDEX('3. Matrix'!$D$6:$D$47,MATCH(8,'3. Matrix'!$Z$6:$Z$47,0)))</f>
        <v/>
      </c>
      <c r="D35" s="115" t="str">
        <f>IF(B35="","",INDEX('3. Matrix'!$E$6:$E$47,MATCH(8,'3. Matrix'!$Z$6:$Z$47,0)))</f>
        <v/>
      </c>
      <c r="E35" s="83"/>
      <c r="F35" s="68" t="str">
        <f>IF(B35="","",INDEX('3. Matrix'!$I$6:$I$47,MATCH(8,'3. Matrix'!$Z$6:$Z$47,0)))</f>
        <v/>
      </c>
      <c r="G35" s="68" t="str">
        <f>IF(B35="","",INDEX('3. Matrix'!$K$6:$K$47,MATCH(8,'3. Matrix'!$Z$6:$Z$47,0)))</f>
        <v/>
      </c>
    </row>
    <row r="36" spans="2:7" ht="18" customHeight="1" x14ac:dyDescent="0.35">
      <c r="B36" s="68" t="str">
        <f>IFERROR(INDEX('3. Matrix'!$A$6:$A$47,MATCH(9,'3. Matrix'!$Z$6:$Z$47,0)),"")</f>
        <v/>
      </c>
      <c r="C36" s="68" t="str">
        <f>IF(B36="","",INDEX('3. Matrix'!$D$6:$D$47,MATCH(9,'3. Matrix'!$Z$6:$Z$47,0)))</f>
        <v/>
      </c>
      <c r="D36" s="115" t="str">
        <f>IF(B36="","",INDEX('3. Matrix'!$E$6:$E$47,MATCH(9,'3. Matrix'!$Z$6:$Z$47,0)))</f>
        <v/>
      </c>
      <c r="E36" s="83"/>
      <c r="F36" s="68" t="str">
        <f>IF(B36="","",INDEX('3. Matrix'!$I$6:$I$47,MATCH(9,'3. Matrix'!$Z$6:$Z$47,0)))</f>
        <v/>
      </c>
      <c r="G36" s="68" t="str">
        <f>IF(B36="","",INDEX('3. Matrix'!$K$6:$K$47,MATCH(9,'3. Matrix'!$Z$6:$Z$47,0)))</f>
        <v/>
      </c>
    </row>
    <row r="37" spans="2:7" ht="18" customHeight="1" x14ac:dyDescent="0.35">
      <c r="B37" s="68" t="str">
        <f>IFERROR(INDEX('3. Matrix'!$A$6:$A$47,MATCH(10,'3. Matrix'!$Z$6:$Z$47,0)),"")</f>
        <v/>
      </c>
      <c r="C37" s="68" t="str">
        <f>IF(B37="","",INDEX('3. Matrix'!$D$6:$D$47,MATCH(10,'3. Matrix'!$Z$6:$Z$47,0)))</f>
        <v/>
      </c>
      <c r="D37" s="115" t="str">
        <f>IF(B37="","",INDEX('3. Matrix'!$E$6:$E$47,MATCH(10,'3. Matrix'!$Z$6:$Z$47,0)))</f>
        <v/>
      </c>
      <c r="E37" s="83"/>
      <c r="F37" s="68" t="str">
        <f>IF(B37="","",INDEX('3. Matrix'!$I$6:$I$47,MATCH(10,'3. Matrix'!$Z$6:$Z$47,0)))</f>
        <v/>
      </c>
      <c r="G37" s="68" t="str">
        <f>IF(B37="","",INDEX('3. Matrix'!$K$6:$K$47,MATCH(10,'3. Matrix'!$Z$6:$Z$47,0)))</f>
        <v/>
      </c>
    </row>
    <row r="38" spans="2:7" ht="18" customHeight="1" x14ac:dyDescent="0.35">
      <c r="B38" s="68" t="str">
        <f>IFERROR(INDEX('3. Matrix'!$A$6:$A$47,MATCH(11,'3. Matrix'!$Z$6:$Z$47,0)),"")</f>
        <v/>
      </c>
      <c r="C38" s="68" t="str">
        <f>IF(B38="","",INDEX('3. Matrix'!$D$6:$D$47,MATCH(11,'3. Matrix'!$Z$6:$Z$47,0)))</f>
        <v/>
      </c>
      <c r="D38" s="115" t="str">
        <f>IF(B38="","",INDEX('3. Matrix'!$E$6:$E$47,MATCH(11,'3. Matrix'!$Z$6:$Z$47,0)))</f>
        <v/>
      </c>
      <c r="E38" s="83"/>
      <c r="F38" s="68" t="str">
        <f>IF(B38="","",INDEX('3. Matrix'!$I$6:$I$47,MATCH(11,'3. Matrix'!$Z$6:$Z$47,0)))</f>
        <v/>
      </c>
      <c r="G38" s="68" t="str">
        <f>IF(B38="","",INDEX('3. Matrix'!$K$6:$K$47,MATCH(11,'3. Matrix'!$Z$6:$Z$47,0)))</f>
        <v/>
      </c>
    </row>
    <row r="39" spans="2:7" ht="18" customHeight="1" x14ac:dyDescent="0.35">
      <c r="B39" s="68" t="str">
        <f>IFERROR(INDEX('3. Matrix'!$A$6:$A$47,MATCH(12,'3. Matrix'!$Z$6:$Z$47,0)),"")</f>
        <v/>
      </c>
      <c r="C39" s="68" t="str">
        <f>IF(B39="","",INDEX('3. Matrix'!$D$6:$D$47,MATCH(12,'3. Matrix'!$Z$6:$Z$47,0)))</f>
        <v/>
      </c>
      <c r="D39" s="115" t="str">
        <f>IF(B39="","",INDEX('3. Matrix'!$E$6:$E$47,MATCH(12,'3. Matrix'!$Z$6:$Z$47,0)))</f>
        <v/>
      </c>
      <c r="E39" s="83"/>
      <c r="F39" s="68" t="str">
        <f>IF(B39="","",INDEX('3. Matrix'!$I$6:$I$47,MATCH(12,'3. Matrix'!$Z$6:$Z$47,0)))</f>
        <v/>
      </c>
      <c r="G39" s="68" t="str">
        <f>IF(B39="","",INDEX('3. Matrix'!$K$6:$K$47,MATCH(12,'3. Matrix'!$Z$6:$Z$47,0)))</f>
        <v/>
      </c>
    </row>
    <row r="41" spans="2:7" ht="18.5" x14ac:dyDescent="0.45">
      <c r="B41" s="84" t="s">
        <v>336</v>
      </c>
      <c r="C41" s="79"/>
      <c r="D41" s="79"/>
      <c r="E41" s="79"/>
      <c r="F41" s="79"/>
      <c r="G41" s="79"/>
    </row>
    <row r="42" spans="2:7" ht="18" customHeight="1" x14ac:dyDescent="0.35">
      <c r="B42" s="111" t="s">
        <v>337</v>
      </c>
      <c r="C42" s="102"/>
      <c r="D42" s="102"/>
      <c r="E42" s="102"/>
      <c r="F42" s="102"/>
      <c r="G42" s="103"/>
    </row>
    <row r="43" spans="2:7" ht="18" customHeight="1" x14ac:dyDescent="0.35">
      <c r="B43" s="112"/>
      <c r="C43" s="113"/>
      <c r="D43" s="113"/>
      <c r="E43" s="113"/>
      <c r="F43" s="113"/>
      <c r="G43" s="114"/>
    </row>
    <row r="44" spans="2:7" ht="18" customHeight="1" x14ac:dyDescent="0.35">
      <c r="B44" s="104"/>
      <c r="C44" s="105"/>
      <c r="D44" s="105"/>
      <c r="E44" s="105"/>
      <c r="F44" s="105"/>
      <c r="G44" s="106"/>
    </row>
  </sheetData>
  <sheetProtection sheet="1" insertColumns="0" insertRows="0" deleteColumns="0" deleteRows="0" selectLockedCells="1" selectUnlockedCells="1"/>
  <mergeCells count="39">
    <mergeCell ref="B3:G3"/>
    <mergeCell ref="D17:G17"/>
    <mergeCell ref="D30:E30"/>
    <mergeCell ref="D33:E33"/>
    <mergeCell ref="B5:C5"/>
    <mergeCell ref="D29:E29"/>
    <mergeCell ref="D16:G16"/>
    <mergeCell ref="F6:F7"/>
    <mergeCell ref="D37:E37"/>
    <mergeCell ref="B41:G41"/>
    <mergeCell ref="D21:G21"/>
    <mergeCell ref="D28:E28"/>
    <mergeCell ref="F22:G22"/>
    <mergeCell ref="B26:G26"/>
    <mergeCell ref="D39:E39"/>
    <mergeCell ref="D38:E38"/>
    <mergeCell ref="D35:E35"/>
    <mergeCell ref="G6:G7"/>
    <mergeCell ref="D32:E32"/>
    <mergeCell ref="E6:E7"/>
    <mergeCell ref="D19:G19"/>
    <mergeCell ref="F23:G23"/>
    <mergeCell ref="D13:G13"/>
    <mergeCell ref="B2:G2"/>
    <mergeCell ref="D18:G18"/>
    <mergeCell ref="D12:G12"/>
    <mergeCell ref="B42:G44"/>
    <mergeCell ref="D34:E34"/>
    <mergeCell ref="B8:G8"/>
    <mergeCell ref="B6:C7"/>
    <mergeCell ref="D15:G15"/>
    <mergeCell ref="D36:E36"/>
    <mergeCell ref="D31:E31"/>
    <mergeCell ref="D14:G14"/>
    <mergeCell ref="B10:G10"/>
    <mergeCell ref="F24:G24"/>
    <mergeCell ref="D20:G20"/>
    <mergeCell ref="D27:E27"/>
    <mergeCell ref="B9:G9"/>
  </mergeCells>
  <conditionalFormatting sqref="B6:C7">
    <cfRule type="expression" dxfId="5" priority="1">
      <formula>ISNUMBER(SEARCH("Accept",$B$6))</formula>
    </cfRule>
    <cfRule type="expression" dxfId="4" priority="2">
      <formula>ISNUMBER(SEARCH("Revise",$B$6))</formula>
    </cfRule>
    <cfRule type="expression" dxfId="3" priority="3">
      <formula>ISNUMBER(SEARCH("Withhold",$B$6))</formula>
    </cfRule>
    <cfRule type="expression" dxfId="2" priority="4">
      <formula>OR($B$6="Not started",$B$6="Outside this matrix")</formula>
    </cfRule>
  </conditionalFormatting>
  <conditionalFormatting sqref="F28:F39">
    <cfRule type="expression" dxfId="1" priority="5">
      <formula>OR(F28=0,F28="0")</formula>
    </cfRule>
    <cfRule type="expression" dxfId="0" priority="6">
      <formula>OR(F28=1,F28="1")</formula>
    </cfRule>
  </conditionalFormatting>
  <printOptions horizontalCentered="1"/>
  <pageMargins left="0.5" right="0.5" top="0.55000000000000004" bottom="0.5" header="0.25" footer="0.25"/>
  <pageSetup paperSize="9" fitToHeight="2" orientation="landscape"/>
  <headerFooter>
    <oddHeader>&amp;R&amp;"Calibri"&amp;9 Majid Mumtaz, CIA, ACA, FCCA</oddHeader>
    <oddFooter>&amp;LCalculated from 3. Matrix.&amp;RPage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6F6A"/>
    <pageSetUpPr fitToPage="1"/>
  </sheetPr>
  <dimension ref="A1:G21"/>
  <sheetViews>
    <sheetView showGridLines="0" zoomScale="110" workbookViewId="0">
      <pane ySplit="4" topLeftCell="A5" activePane="bottomLeft" state="frozen"/>
      <selection pane="bottomLeft"/>
    </sheetView>
  </sheetViews>
  <sheetFormatPr defaultRowHeight="14.5" x14ac:dyDescent="0.35"/>
  <cols>
    <col min="1" max="1" width="14" customWidth="1"/>
    <col min="2" max="2" width="42" customWidth="1"/>
    <col min="3" max="3" width="24" customWidth="1"/>
    <col min="4" max="4" width="78" customWidth="1"/>
    <col min="5" max="5" width="36" customWidth="1"/>
    <col min="6" max="6" width="55" hidden="1" customWidth="1"/>
    <col min="7" max="7" width="20" hidden="1" customWidth="1"/>
  </cols>
  <sheetData>
    <row r="1" spans="1:7" ht="28" customHeight="1" x14ac:dyDescent="0.6">
      <c r="A1" s="78" t="s">
        <v>338</v>
      </c>
      <c r="B1" s="79"/>
      <c r="C1" s="79"/>
      <c r="D1" s="79"/>
      <c r="E1" s="79"/>
    </row>
    <row r="2" spans="1:7" ht="36" customHeight="1" x14ac:dyDescent="0.35">
      <c r="A2" s="109" t="s">
        <v>339</v>
      </c>
      <c r="B2" s="79"/>
      <c r="C2" s="79"/>
      <c r="D2" s="79"/>
      <c r="E2" s="79"/>
    </row>
    <row r="4" spans="1:7" ht="22" customHeight="1" x14ac:dyDescent="0.35">
      <c r="A4" s="20" t="s">
        <v>340</v>
      </c>
      <c r="B4" s="20" t="s">
        <v>341</v>
      </c>
      <c r="C4" s="20" t="s">
        <v>342</v>
      </c>
      <c r="D4" s="20" t="s">
        <v>343</v>
      </c>
      <c r="E4" s="20" t="s">
        <v>344</v>
      </c>
      <c r="F4" s="20" t="s">
        <v>345</v>
      </c>
    </row>
    <row r="5" spans="1:7" ht="48" customHeight="1" x14ac:dyDescent="0.35">
      <c r="A5" s="69" t="s">
        <v>346</v>
      </c>
      <c r="B5" s="70" t="s">
        <v>347</v>
      </c>
      <c r="C5" s="70" t="s">
        <v>348</v>
      </c>
      <c r="D5" s="70" t="s">
        <v>349</v>
      </c>
      <c r="E5" s="70" t="str">
        <f t="shared" ref="E5:E21" si="0">IF(G5="","Not scored on an assignment report",MID(G5,3,400))</f>
        <v>G5</v>
      </c>
      <c r="F5" s="70" t="str">
        <f t="shared" ref="F5:F21" si="1">A5&amp;" "&amp;B5&amp;" — "&amp;C5</f>
        <v>5.1 Use of Information — Requirements</v>
      </c>
      <c r="G5" t="str">
        <f>IF(ISNUMBER(SEARCH(";"&amp;A5&amp;";",";"&amp;'3. Matrix'!AB6&amp;";")),", "&amp;'3. Matrix'!A6,"")&amp;IF(ISNUMBER(SEARCH(";"&amp;A5&amp;";",";"&amp;'3. Matrix'!AB7&amp;";")),", "&amp;'3. Matrix'!A7,"")&amp;IF(ISNUMBER(SEARCH(";"&amp;A5&amp;";",";"&amp;'3. Matrix'!AB8&amp;";")),", "&amp;'3. Matrix'!A8,"")&amp;IF(ISNUMBER(SEARCH(";"&amp;A5&amp;";",";"&amp;'3. Matrix'!AB9&amp;";")),", "&amp;'3. Matrix'!A9,"")&amp;IF(ISNUMBER(SEARCH(";"&amp;A5&amp;";",";"&amp;'3. Matrix'!AB10&amp;";")),", "&amp;'3. Matrix'!A10,"")&amp;IF(ISNUMBER(SEARCH(";"&amp;A5&amp;";",";"&amp;'3. Matrix'!AB11&amp;";")),", "&amp;'3. Matrix'!A11,"")&amp;IF(ISNUMBER(SEARCH(";"&amp;A5&amp;";",";"&amp;'3. Matrix'!AB12&amp;";")),", "&amp;'3. Matrix'!A12,"")&amp;IF(ISNUMBER(SEARCH(";"&amp;A5&amp;";",";"&amp;'3. Matrix'!AB13&amp;";")),", "&amp;'3. Matrix'!A13,"")&amp;IF(ISNUMBER(SEARCH(";"&amp;A5&amp;";",";"&amp;'3. Matrix'!AB14&amp;";")),", "&amp;'3. Matrix'!A14,"")&amp;IF(ISNUMBER(SEARCH(";"&amp;A5&amp;";",";"&amp;'3. Matrix'!AB15&amp;";")),", "&amp;'3. Matrix'!A15,"")&amp;IF(ISNUMBER(SEARCH(";"&amp;A5&amp;";",";"&amp;'3. Matrix'!AB16&amp;";")),", "&amp;'3. Matrix'!A16,"")&amp;IF(ISNUMBER(SEARCH(";"&amp;A5&amp;";",";"&amp;'3. Matrix'!AB17&amp;";")),", "&amp;'3. Matrix'!A17,"")&amp;IF(ISNUMBER(SEARCH(";"&amp;A5&amp;";",";"&amp;'3. Matrix'!AB18&amp;";")),", "&amp;'3. Matrix'!A18,"")&amp;IF(ISNUMBER(SEARCH(";"&amp;A5&amp;";",";"&amp;'3. Matrix'!AB19&amp;";")),", "&amp;'3. Matrix'!A19,"")&amp;IF(ISNUMBER(SEARCH(";"&amp;A5&amp;";",";"&amp;'3. Matrix'!AB20&amp;";")),", "&amp;'3. Matrix'!A20,"")&amp;IF(ISNUMBER(SEARCH(";"&amp;A5&amp;";",";"&amp;'3. Matrix'!AB21&amp;";")),", "&amp;'3. Matrix'!A21,"")&amp;IF(ISNUMBER(SEARCH(";"&amp;A5&amp;";",";"&amp;'3. Matrix'!AB22&amp;";")),", "&amp;'3. Matrix'!A22,"")&amp;IF(ISNUMBER(SEARCH(";"&amp;A5&amp;";",";"&amp;'3. Matrix'!AB23&amp;";")),", "&amp;'3. Matrix'!A23,"")&amp;IF(ISNUMBER(SEARCH(";"&amp;A5&amp;";",";"&amp;'3. Matrix'!AB24&amp;";")),", "&amp;'3. Matrix'!A24,"")&amp;IF(ISNUMBER(SEARCH(";"&amp;A5&amp;";",";"&amp;'3. Matrix'!AB25&amp;";")),", "&amp;'3. Matrix'!A25,"")&amp;IF(ISNUMBER(SEARCH(";"&amp;A5&amp;";",";"&amp;'3. Matrix'!AB26&amp;";")),", "&amp;'3. Matrix'!A26,"")&amp;IF(ISNUMBER(SEARCH(";"&amp;A5&amp;";",";"&amp;'3. Matrix'!AB27&amp;";")),", "&amp;'3. Matrix'!A27,"")&amp;IF(ISNUMBER(SEARCH(";"&amp;A5&amp;";",";"&amp;'3. Matrix'!AB28&amp;";")),", "&amp;'3. Matrix'!A28,"")&amp;IF(ISNUMBER(SEARCH(";"&amp;A5&amp;";",";"&amp;'3. Matrix'!AB29&amp;";")),", "&amp;'3. Matrix'!A29,"")&amp;IF(ISNUMBER(SEARCH(";"&amp;A5&amp;";",";"&amp;'3. Matrix'!AB30&amp;";")),", "&amp;'3. Matrix'!A30,"")&amp;IF(ISNUMBER(SEARCH(";"&amp;A5&amp;";",";"&amp;'3. Matrix'!AB31&amp;";")),", "&amp;'3. Matrix'!A31,"")&amp;IF(ISNUMBER(SEARCH(";"&amp;A5&amp;";",";"&amp;'3. Matrix'!AB32&amp;";")),", "&amp;'3. Matrix'!A32,"")&amp;IF(ISNUMBER(SEARCH(";"&amp;A5&amp;";",";"&amp;'3. Matrix'!AB33&amp;";")),", "&amp;'3. Matrix'!A33,"")&amp;IF(ISNUMBER(SEARCH(";"&amp;A5&amp;";",";"&amp;'3. Matrix'!AB34&amp;";")),", "&amp;'3. Matrix'!A34,"")&amp;IF(ISNUMBER(SEARCH(";"&amp;A5&amp;";",";"&amp;'3. Matrix'!AB35&amp;";")),", "&amp;'3. Matrix'!A35,"")&amp;IF(ISNUMBER(SEARCH(";"&amp;A5&amp;";",";"&amp;'3. Matrix'!AB36&amp;";")),", "&amp;'3. Matrix'!A36,"")&amp;IF(ISNUMBER(SEARCH(";"&amp;A5&amp;";",";"&amp;'3. Matrix'!AB37&amp;";")),", "&amp;'3. Matrix'!A37,"")&amp;IF(ISNUMBER(SEARCH(";"&amp;A5&amp;";",";"&amp;'3. Matrix'!AB38&amp;";")),", "&amp;'3. Matrix'!A38,"")&amp;IF(ISNUMBER(SEARCH(";"&amp;A5&amp;";",";"&amp;'3. Matrix'!AB39&amp;";")),", "&amp;'3. Matrix'!A39,"")&amp;IF(ISNUMBER(SEARCH(";"&amp;A5&amp;";",";"&amp;'3. Matrix'!AB40&amp;";")),", "&amp;'3. Matrix'!A40,"")&amp;IF(ISNUMBER(SEARCH(";"&amp;A5&amp;";",";"&amp;'3. Matrix'!AB41&amp;";")),", "&amp;'3. Matrix'!A41,"")&amp;IF(ISNUMBER(SEARCH(";"&amp;A5&amp;";",";"&amp;'3. Matrix'!AB42&amp;";")),", "&amp;'3. Matrix'!A42,"")&amp;IF(ISNUMBER(SEARCH(";"&amp;A5&amp;";",";"&amp;'3. Matrix'!AB43&amp;";")),", "&amp;'3. Matrix'!A43,"")&amp;IF(ISNUMBER(SEARCH(";"&amp;A5&amp;";",";"&amp;'3. Matrix'!AB44&amp;";")),", "&amp;'3. Matrix'!A44,"")&amp;IF(ISNUMBER(SEARCH(";"&amp;A5&amp;";",";"&amp;'3. Matrix'!AB45&amp;";")),", "&amp;'3. Matrix'!A45,"")&amp;IF(ISNUMBER(SEARCH(";"&amp;A5&amp;";",";"&amp;'3. Matrix'!AB46&amp;";")),", "&amp;'3. Matrix'!A46,"")&amp;IF(ISNUMBER(SEARCH(";"&amp;A5&amp;";",";"&amp;'3. Matrix'!AB47&amp;";")),", "&amp;'3. Matrix'!A47,"")</f>
        <v>, G5</v>
      </c>
    </row>
    <row r="6" spans="1:7" ht="48" customHeight="1" x14ac:dyDescent="0.35">
      <c r="A6" s="71" t="s">
        <v>350</v>
      </c>
      <c r="B6" s="72" t="s">
        <v>351</v>
      </c>
      <c r="C6" s="72" t="s">
        <v>348</v>
      </c>
      <c r="D6" s="72" t="s">
        <v>352</v>
      </c>
      <c r="E6" s="72" t="str">
        <f t="shared" si="0"/>
        <v>G5</v>
      </c>
      <c r="F6" s="72" t="str">
        <f t="shared" si="1"/>
        <v>5.2 Protection of Information — Requirements</v>
      </c>
      <c r="G6" t="str">
        <f>IF(ISNUMBER(SEARCH(";"&amp;A6&amp;";",";"&amp;'3. Matrix'!AB6&amp;";")),", "&amp;'3. Matrix'!A6,"")&amp;IF(ISNUMBER(SEARCH(";"&amp;A6&amp;";",";"&amp;'3. Matrix'!AB7&amp;";")),", "&amp;'3. Matrix'!A7,"")&amp;IF(ISNUMBER(SEARCH(";"&amp;A6&amp;";",";"&amp;'3. Matrix'!AB8&amp;";")),", "&amp;'3. Matrix'!A8,"")&amp;IF(ISNUMBER(SEARCH(";"&amp;A6&amp;";",";"&amp;'3. Matrix'!AB9&amp;";")),", "&amp;'3. Matrix'!A9,"")&amp;IF(ISNUMBER(SEARCH(";"&amp;A6&amp;";",";"&amp;'3. Matrix'!AB10&amp;";")),", "&amp;'3. Matrix'!A10,"")&amp;IF(ISNUMBER(SEARCH(";"&amp;A6&amp;";",";"&amp;'3. Matrix'!AB11&amp;";")),", "&amp;'3. Matrix'!A11,"")&amp;IF(ISNUMBER(SEARCH(";"&amp;A6&amp;";",";"&amp;'3. Matrix'!AB12&amp;";")),", "&amp;'3. Matrix'!A12,"")&amp;IF(ISNUMBER(SEARCH(";"&amp;A6&amp;";",";"&amp;'3. Matrix'!AB13&amp;";")),", "&amp;'3. Matrix'!A13,"")&amp;IF(ISNUMBER(SEARCH(";"&amp;A6&amp;";",";"&amp;'3. Matrix'!AB14&amp;";")),", "&amp;'3. Matrix'!A14,"")&amp;IF(ISNUMBER(SEARCH(";"&amp;A6&amp;";",";"&amp;'3. Matrix'!AB15&amp;";")),", "&amp;'3. Matrix'!A15,"")&amp;IF(ISNUMBER(SEARCH(";"&amp;A6&amp;";",";"&amp;'3. Matrix'!AB16&amp;";")),", "&amp;'3. Matrix'!A16,"")&amp;IF(ISNUMBER(SEARCH(";"&amp;A6&amp;";",";"&amp;'3. Matrix'!AB17&amp;";")),", "&amp;'3. Matrix'!A17,"")&amp;IF(ISNUMBER(SEARCH(";"&amp;A6&amp;";",";"&amp;'3. Matrix'!AB18&amp;";")),", "&amp;'3. Matrix'!A18,"")&amp;IF(ISNUMBER(SEARCH(";"&amp;A6&amp;";",";"&amp;'3. Matrix'!AB19&amp;";")),", "&amp;'3. Matrix'!A19,"")&amp;IF(ISNUMBER(SEARCH(";"&amp;A6&amp;";",";"&amp;'3. Matrix'!AB20&amp;";")),", "&amp;'3. Matrix'!A20,"")&amp;IF(ISNUMBER(SEARCH(";"&amp;A6&amp;";",";"&amp;'3. Matrix'!AB21&amp;";")),", "&amp;'3. Matrix'!A21,"")&amp;IF(ISNUMBER(SEARCH(";"&amp;A6&amp;";",";"&amp;'3. Matrix'!AB22&amp;";")),", "&amp;'3. Matrix'!A22,"")&amp;IF(ISNUMBER(SEARCH(";"&amp;A6&amp;";",";"&amp;'3. Matrix'!AB23&amp;";")),", "&amp;'3. Matrix'!A23,"")&amp;IF(ISNUMBER(SEARCH(";"&amp;A6&amp;";",";"&amp;'3. Matrix'!AB24&amp;";")),", "&amp;'3. Matrix'!A24,"")&amp;IF(ISNUMBER(SEARCH(";"&amp;A6&amp;";",";"&amp;'3. Matrix'!AB25&amp;";")),", "&amp;'3. Matrix'!A25,"")&amp;IF(ISNUMBER(SEARCH(";"&amp;A6&amp;";",";"&amp;'3. Matrix'!AB26&amp;";")),", "&amp;'3. Matrix'!A26,"")&amp;IF(ISNUMBER(SEARCH(";"&amp;A6&amp;";",";"&amp;'3. Matrix'!AB27&amp;";")),", "&amp;'3. Matrix'!A27,"")&amp;IF(ISNUMBER(SEARCH(";"&amp;A6&amp;";",";"&amp;'3. Matrix'!AB28&amp;";")),", "&amp;'3. Matrix'!A28,"")&amp;IF(ISNUMBER(SEARCH(";"&amp;A6&amp;";",";"&amp;'3. Matrix'!AB29&amp;";")),", "&amp;'3. Matrix'!A29,"")&amp;IF(ISNUMBER(SEARCH(";"&amp;A6&amp;";",";"&amp;'3. Matrix'!AB30&amp;";")),", "&amp;'3. Matrix'!A30,"")&amp;IF(ISNUMBER(SEARCH(";"&amp;A6&amp;";",";"&amp;'3. Matrix'!AB31&amp;";")),", "&amp;'3. Matrix'!A31,"")&amp;IF(ISNUMBER(SEARCH(";"&amp;A6&amp;";",";"&amp;'3. Matrix'!AB32&amp;";")),", "&amp;'3. Matrix'!A32,"")&amp;IF(ISNUMBER(SEARCH(";"&amp;A6&amp;";",";"&amp;'3. Matrix'!AB33&amp;";")),", "&amp;'3. Matrix'!A33,"")&amp;IF(ISNUMBER(SEARCH(";"&amp;A6&amp;";",";"&amp;'3. Matrix'!AB34&amp;";")),", "&amp;'3. Matrix'!A34,"")&amp;IF(ISNUMBER(SEARCH(";"&amp;A6&amp;";",";"&amp;'3. Matrix'!AB35&amp;";")),", "&amp;'3. Matrix'!A35,"")&amp;IF(ISNUMBER(SEARCH(";"&amp;A6&amp;";",";"&amp;'3. Matrix'!AB36&amp;";")),", "&amp;'3. Matrix'!A36,"")&amp;IF(ISNUMBER(SEARCH(";"&amp;A6&amp;";",";"&amp;'3. Matrix'!AB37&amp;";")),", "&amp;'3. Matrix'!A37,"")&amp;IF(ISNUMBER(SEARCH(";"&amp;A6&amp;";",";"&amp;'3. Matrix'!AB38&amp;";")),", "&amp;'3. Matrix'!A38,"")&amp;IF(ISNUMBER(SEARCH(";"&amp;A6&amp;";",";"&amp;'3. Matrix'!AB39&amp;";")),", "&amp;'3. Matrix'!A39,"")&amp;IF(ISNUMBER(SEARCH(";"&amp;A6&amp;";",";"&amp;'3. Matrix'!AB40&amp;";")),", "&amp;'3. Matrix'!A40,"")&amp;IF(ISNUMBER(SEARCH(";"&amp;A6&amp;";",";"&amp;'3. Matrix'!AB41&amp;";")),", "&amp;'3. Matrix'!A41,"")&amp;IF(ISNUMBER(SEARCH(";"&amp;A6&amp;";",";"&amp;'3. Matrix'!AB42&amp;";")),", "&amp;'3. Matrix'!A42,"")&amp;IF(ISNUMBER(SEARCH(";"&amp;A6&amp;";",";"&amp;'3. Matrix'!AB43&amp;";")),", "&amp;'3. Matrix'!A43,"")&amp;IF(ISNUMBER(SEARCH(";"&amp;A6&amp;";",";"&amp;'3. Matrix'!AB44&amp;";")),", "&amp;'3. Matrix'!A44,"")&amp;IF(ISNUMBER(SEARCH(";"&amp;A6&amp;";",";"&amp;'3. Matrix'!AB45&amp;";")),", "&amp;'3. Matrix'!A45,"")&amp;IF(ISNUMBER(SEARCH(";"&amp;A6&amp;";",";"&amp;'3. Matrix'!AB46&amp;";")),", "&amp;'3. Matrix'!A46,"")&amp;IF(ISNUMBER(SEARCH(";"&amp;A6&amp;";",";"&amp;'3. Matrix'!AB47&amp;";")),", "&amp;'3. Matrix'!A47,"")</f>
        <v>, G5</v>
      </c>
    </row>
    <row r="7" spans="1:7" ht="48" customHeight="1" x14ac:dyDescent="0.35">
      <c r="A7" s="69" t="s">
        <v>252</v>
      </c>
      <c r="B7" s="70" t="s">
        <v>353</v>
      </c>
      <c r="C7" s="70" t="s">
        <v>348</v>
      </c>
      <c r="D7" s="70" t="s">
        <v>354</v>
      </c>
      <c r="E7" s="70" t="str">
        <f t="shared" si="0"/>
        <v>C5, F1, F2, F3, F4, F5, F6, F7, H1</v>
      </c>
      <c r="F7" s="70" t="str">
        <f t="shared" si="1"/>
        <v>11.2 Effective Communication — Requirements</v>
      </c>
      <c r="G7" t="str">
        <f>IF(ISNUMBER(SEARCH(";"&amp;A7&amp;";",";"&amp;'3. Matrix'!AB6&amp;";")),", "&amp;'3. Matrix'!A6,"")&amp;IF(ISNUMBER(SEARCH(";"&amp;A7&amp;";",";"&amp;'3. Matrix'!AB7&amp;";")),", "&amp;'3. Matrix'!A7,"")&amp;IF(ISNUMBER(SEARCH(";"&amp;A7&amp;";",";"&amp;'3. Matrix'!AB8&amp;";")),", "&amp;'3. Matrix'!A8,"")&amp;IF(ISNUMBER(SEARCH(";"&amp;A7&amp;";",";"&amp;'3. Matrix'!AB9&amp;";")),", "&amp;'3. Matrix'!A9,"")&amp;IF(ISNUMBER(SEARCH(";"&amp;A7&amp;";",";"&amp;'3. Matrix'!AB10&amp;";")),", "&amp;'3. Matrix'!A10,"")&amp;IF(ISNUMBER(SEARCH(";"&amp;A7&amp;";",";"&amp;'3. Matrix'!AB11&amp;";")),", "&amp;'3. Matrix'!A11,"")&amp;IF(ISNUMBER(SEARCH(";"&amp;A7&amp;";",";"&amp;'3. Matrix'!AB12&amp;";")),", "&amp;'3. Matrix'!A12,"")&amp;IF(ISNUMBER(SEARCH(";"&amp;A7&amp;";",";"&amp;'3. Matrix'!AB13&amp;";")),", "&amp;'3. Matrix'!A13,"")&amp;IF(ISNUMBER(SEARCH(";"&amp;A7&amp;";",";"&amp;'3. Matrix'!AB14&amp;";")),", "&amp;'3. Matrix'!A14,"")&amp;IF(ISNUMBER(SEARCH(";"&amp;A7&amp;";",";"&amp;'3. Matrix'!AB15&amp;";")),", "&amp;'3. Matrix'!A15,"")&amp;IF(ISNUMBER(SEARCH(";"&amp;A7&amp;";",";"&amp;'3. Matrix'!AB16&amp;";")),", "&amp;'3. Matrix'!A16,"")&amp;IF(ISNUMBER(SEARCH(";"&amp;A7&amp;";",";"&amp;'3. Matrix'!AB17&amp;";")),", "&amp;'3. Matrix'!A17,"")&amp;IF(ISNUMBER(SEARCH(";"&amp;A7&amp;";",";"&amp;'3. Matrix'!AB18&amp;";")),", "&amp;'3. Matrix'!A18,"")&amp;IF(ISNUMBER(SEARCH(";"&amp;A7&amp;";",";"&amp;'3. Matrix'!AB19&amp;";")),", "&amp;'3. Matrix'!A19,"")&amp;IF(ISNUMBER(SEARCH(";"&amp;A7&amp;";",";"&amp;'3. Matrix'!AB20&amp;";")),", "&amp;'3. Matrix'!A20,"")&amp;IF(ISNUMBER(SEARCH(";"&amp;A7&amp;";",";"&amp;'3. Matrix'!AB21&amp;";")),", "&amp;'3. Matrix'!A21,"")&amp;IF(ISNUMBER(SEARCH(";"&amp;A7&amp;";",";"&amp;'3. Matrix'!AB22&amp;";")),", "&amp;'3. Matrix'!A22,"")&amp;IF(ISNUMBER(SEARCH(";"&amp;A7&amp;";",";"&amp;'3. Matrix'!AB23&amp;";")),", "&amp;'3. Matrix'!A23,"")&amp;IF(ISNUMBER(SEARCH(";"&amp;A7&amp;";",";"&amp;'3. Matrix'!AB24&amp;";")),", "&amp;'3. Matrix'!A24,"")&amp;IF(ISNUMBER(SEARCH(";"&amp;A7&amp;";",";"&amp;'3. Matrix'!AB25&amp;";")),", "&amp;'3. Matrix'!A25,"")&amp;IF(ISNUMBER(SEARCH(";"&amp;A7&amp;";",";"&amp;'3. Matrix'!AB26&amp;";")),", "&amp;'3. Matrix'!A26,"")&amp;IF(ISNUMBER(SEARCH(";"&amp;A7&amp;";",";"&amp;'3. Matrix'!AB27&amp;";")),", "&amp;'3. Matrix'!A27,"")&amp;IF(ISNUMBER(SEARCH(";"&amp;A7&amp;";",";"&amp;'3. Matrix'!AB28&amp;";")),", "&amp;'3. Matrix'!A28,"")&amp;IF(ISNUMBER(SEARCH(";"&amp;A7&amp;";",";"&amp;'3. Matrix'!AB29&amp;";")),", "&amp;'3. Matrix'!A29,"")&amp;IF(ISNUMBER(SEARCH(";"&amp;A7&amp;";",";"&amp;'3. Matrix'!AB30&amp;";")),", "&amp;'3. Matrix'!A30,"")&amp;IF(ISNUMBER(SEARCH(";"&amp;A7&amp;";",";"&amp;'3. Matrix'!AB31&amp;";")),", "&amp;'3. Matrix'!A31,"")&amp;IF(ISNUMBER(SEARCH(";"&amp;A7&amp;";",";"&amp;'3. Matrix'!AB32&amp;";")),", "&amp;'3. Matrix'!A32,"")&amp;IF(ISNUMBER(SEARCH(";"&amp;A7&amp;";",";"&amp;'3. Matrix'!AB33&amp;";")),", "&amp;'3. Matrix'!A33,"")&amp;IF(ISNUMBER(SEARCH(";"&amp;A7&amp;";",";"&amp;'3. Matrix'!AB34&amp;";")),", "&amp;'3. Matrix'!A34,"")&amp;IF(ISNUMBER(SEARCH(";"&amp;A7&amp;";",";"&amp;'3. Matrix'!AB35&amp;";")),", "&amp;'3. Matrix'!A35,"")&amp;IF(ISNUMBER(SEARCH(";"&amp;A7&amp;";",";"&amp;'3. Matrix'!AB36&amp;";")),", "&amp;'3. Matrix'!A36,"")&amp;IF(ISNUMBER(SEARCH(";"&amp;A7&amp;";",";"&amp;'3. Matrix'!AB37&amp;";")),", "&amp;'3. Matrix'!A37,"")&amp;IF(ISNUMBER(SEARCH(";"&amp;A7&amp;";",";"&amp;'3. Matrix'!AB38&amp;";")),", "&amp;'3. Matrix'!A38,"")&amp;IF(ISNUMBER(SEARCH(";"&amp;A7&amp;";",";"&amp;'3. Matrix'!AB39&amp;";")),", "&amp;'3. Matrix'!A39,"")&amp;IF(ISNUMBER(SEARCH(";"&amp;A7&amp;";",";"&amp;'3. Matrix'!AB40&amp;";")),", "&amp;'3. Matrix'!A40,"")&amp;IF(ISNUMBER(SEARCH(";"&amp;A7&amp;";",";"&amp;'3. Matrix'!AB41&amp;";")),", "&amp;'3. Matrix'!A41,"")&amp;IF(ISNUMBER(SEARCH(";"&amp;A7&amp;";",";"&amp;'3. Matrix'!AB42&amp;";")),", "&amp;'3. Matrix'!A42,"")&amp;IF(ISNUMBER(SEARCH(";"&amp;A7&amp;";",";"&amp;'3. Matrix'!AB43&amp;";")),", "&amp;'3. Matrix'!A43,"")&amp;IF(ISNUMBER(SEARCH(";"&amp;A7&amp;";",";"&amp;'3. Matrix'!AB44&amp;";")),", "&amp;'3. Matrix'!A44,"")&amp;IF(ISNUMBER(SEARCH(";"&amp;A7&amp;";",";"&amp;'3. Matrix'!AB45&amp;";")),", "&amp;'3. Matrix'!A45,"")&amp;IF(ISNUMBER(SEARCH(";"&amp;A7&amp;";",";"&amp;'3. Matrix'!AB46&amp;";")),", "&amp;'3. Matrix'!A46,"")&amp;IF(ISNUMBER(SEARCH(";"&amp;A7&amp;";",";"&amp;'3. Matrix'!AB47&amp;";")),", "&amp;'3. Matrix'!A47,"")</f>
        <v>, C5, F1, F2, F3, F4, F5, F6, F7, H1</v>
      </c>
    </row>
    <row r="8" spans="1:7" ht="48" customHeight="1" x14ac:dyDescent="0.35">
      <c r="A8" s="71" t="s">
        <v>271</v>
      </c>
      <c r="B8" s="72" t="s">
        <v>355</v>
      </c>
      <c r="C8" s="72" t="s">
        <v>348</v>
      </c>
      <c r="D8" s="72" t="s">
        <v>356</v>
      </c>
      <c r="E8" s="72" t="str">
        <f t="shared" si="0"/>
        <v>C6, G1, G2, H3, O1, O2, O3, O4, O5</v>
      </c>
      <c r="F8" s="72" t="str">
        <f t="shared" si="1"/>
        <v>11.3 Communicating Results — Requirements</v>
      </c>
      <c r="G8" t="str">
        <f>IF(ISNUMBER(SEARCH(";"&amp;A8&amp;";",";"&amp;'3. Matrix'!AB6&amp;";")),", "&amp;'3. Matrix'!A6,"")&amp;IF(ISNUMBER(SEARCH(";"&amp;A8&amp;";",";"&amp;'3. Matrix'!AB7&amp;";")),", "&amp;'3. Matrix'!A7,"")&amp;IF(ISNUMBER(SEARCH(";"&amp;A8&amp;";",";"&amp;'3. Matrix'!AB8&amp;";")),", "&amp;'3. Matrix'!A8,"")&amp;IF(ISNUMBER(SEARCH(";"&amp;A8&amp;";",";"&amp;'3. Matrix'!AB9&amp;";")),", "&amp;'3. Matrix'!A9,"")&amp;IF(ISNUMBER(SEARCH(";"&amp;A8&amp;";",";"&amp;'3. Matrix'!AB10&amp;";")),", "&amp;'3. Matrix'!A10,"")&amp;IF(ISNUMBER(SEARCH(";"&amp;A8&amp;";",";"&amp;'3. Matrix'!AB11&amp;";")),", "&amp;'3. Matrix'!A11,"")&amp;IF(ISNUMBER(SEARCH(";"&amp;A8&amp;";",";"&amp;'3. Matrix'!AB12&amp;";")),", "&amp;'3. Matrix'!A12,"")&amp;IF(ISNUMBER(SEARCH(";"&amp;A8&amp;";",";"&amp;'3. Matrix'!AB13&amp;";")),", "&amp;'3. Matrix'!A13,"")&amp;IF(ISNUMBER(SEARCH(";"&amp;A8&amp;";",";"&amp;'3. Matrix'!AB14&amp;";")),", "&amp;'3. Matrix'!A14,"")&amp;IF(ISNUMBER(SEARCH(";"&amp;A8&amp;";",";"&amp;'3. Matrix'!AB15&amp;";")),", "&amp;'3. Matrix'!A15,"")&amp;IF(ISNUMBER(SEARCH(";"&amp;A8&amp;";",";"&amp;'3. Matrix'!AB16&amp;";")),", "&amp;'3. Matrix'!A16,"")&amp;IF(ISNUMBER(SEARCH(";"&amp;A8&amp;";",";"&amp;'3. Matrix'!AB17&amp;";")),", "&amp;'3. Matrix'!A17,"")&amp;IF(ISNUMBER(SEARCH(";"&amp;A8&amp;";",";"&amp;'3. Matrix'!AB18&amp;";")),", "&amp;'3. Matrix'!A18,"")&amp;IF(ISNUMBER(SEARCH(";"&amp;A8&amp;";",";"&amp;'3. Matrix'!AB19&amp;";")),", "&amp;'3. Matrix'!A19,"")&amp;IF(ISNUMBER(SEARCH(";"&amp;A8&amp;";",";"&amp;'3. Matrix'!AB20&amp;";")),", "&amp;'3. Matrix'!A20,"")&amp;IF(ISNUMBER(SEARCH(";"&amp;A8&amp;";",";"&amp;'3. Matrix'!AB21&amp;";")),", "&amp;'3. Matrix'!A21,"")&amp;IF(ISNUMBER(SEARCH(";"&amp;A8&amp;";",";"&amp;'3. Matrix'!AB22&amp;";")),", "&amp;'3. Matrix'!A22,"")&amp;IF(ISNUMBER(SEARCH(";"&amp;A8&amp;";",";"&amp;'3. Matrix'!AB23&amp;";")),", "&amp;'3. Matrix'!A23,"")&amp;IF(ISNUMBER(SEARCH(";"&amp;A8&amp;";",";"&amp;'3. Matrix'!AB24&amp;";")),", "&amp;'3. Matrix'!A24,"")&amp;IF(ISNUMBER(SEARCH(";"&amp;A8&amp;";",";"&amp;'3. Matrix'!AB25&amp;";")),", "&amp;'3. Matrix'!A25,"")&amp;IF(ISNUMBER(SEARCH(";"&amp;A8&amp;";",";"&amp;'3. Matrix'!AB26&amp;";")),", "&amp;'3. Matrix'!A26,"")&amp;IF(ISNUMBER(SEARCH(";"&amp;A8&amp;";",";"&amp;'3. Matrix'!AB27&amp;";")),", "&amp;'3. Matrix'!A27,"")&amp;IF(ISNUMBER(SEARCH(";"&amp;A8&amp;";",";"&amp;'3. Matrix'!AB28&amp;";")),", "&amp;'3. Matrix'!A28,"")&amp;IF(ISNUMBER(SEARCH(";"&amp;A8&amp;";",";"&amp;'3. Matrix'!AB29&amp;";")),", "&amp;'3. Matrix'!A29,"")&amp;IF(ISNUMBER(SEARCH(";"&amp;A8&amp;";",";"&amp;'3. Matrix'!AB30&amp;";")),", "&amp;'3. Matrix'!A30,"")&amp;IF(ISNUMBER(SEARCH(";"&amp;A8&amp;";",";"&amp;'3. Matrix'!AB31&amp;";")),", "&amp;'3. Matrix'!A31,"")&amp;IF(ISNUMBER(SEARCH(";"&amp;A8&amp;";",";"&amp;'3. Matrix'!AB32&amp;";")),", "&amp;'3. Matrix'!A32,"")&amp;IF(ISNUMBER(SEARCH(";"&amp;A8&amp;";",";"&amp;'3. Matrix'!AB33&amp;";")),", "&amp;'3. Matrix'!A33,"")&amp;IF(ISNUMBER(SEARCH(";"&amp;A8&amp;";",";"&amp;'3. Matrix'!AB34&amp;";")),", "&amp;'3. Matrix'!A34,"")&amp;IF(ISNUMBER(SEARCH(";"&amp;A8&amp;";",";"&amp;'3. Matrix'!AB35&amp;";")),", "&amp;'3. Matrix'!A35,"")&amp;IF(ISNUMBER(SEARCH(";"&amp;A8&amp;";",";"&amp;'3. Matrix'!AB36&amp;";")),", "&amp;'3. Matrix'!A36,"")&amp;IF(ISNUMBER(SEARCH(";"&amp;A8&amp;";",";"&amp;'3. Matrix'!AB37&amp;";")),", "&amp;'3. Matrix'!A37,"")&amp;IF(ISNUMBER(SEARCH(";"&amp;A8&amp;";",";"&amp;'3. Matrix'!AB38&amp;";")),", "&amp;'3. Matrix'!A38,"")&amp;IF(ISNUMBER(SEARCH(";"&amp;A8&amp;";",";"&amp;'3. Matrix'!AB39&amp;";")),", "&amp;'3. Matrix'!A39,"")&amp;IF(ISNUMBER(SEARCH(";"&amp;A8&amp;";",";"&amp;'3. Matrix'!AB40&amp;";")),", "&amp;'3. Matrix'!A40,"")&amp;IF(ISNUMBER(SEARCH(";"&amp;A8&amp;";",";"&amp;'3. Matrix'!AB41&amp;";")),", "&amp;'3. Matrix'!A41,"")&amp;IF(ISNUMBER(SEARCH(";"&amp;A8&amp;";",";"&amp;'3. Matrix'!AB42&amp;";")),", "&amp;'3. Matrix'!A42,"")&amp;IF(ISNUMBER(SEARCH(";"&amp;A8&amp;";",";"&amp;'3. Matrix'!AB43&amp;";")),", "&amp;'3. Matrix'!A43,"")&amp;IF(ISNUMBER(SEARCH(";"&amp;A8&amp;";",";"&amp;'3. Matrix'!AB44&amp;";")),", "&amp;'3. Matrix'!A44,"")&amp;IF(ISNUMBER(SEARCH(";"&amp;A8&amp;";",";"&amp;'3. Matrix'!AB45&amp;";")),", "&amp;'3. Matrix'!A45,"")&amp;IF(ISNUMBER(SEARCH(";"&amp;A8&amp;";",";"&amp;'3. Matrix'!AB46&amp;";")),", "&amp;'3. Matrix'!A46,"")&amp;IF(ISNUMBER(SEARCH(";"&amp;A8&amp;";",";"&amp;'3. Matrix'!AB47&amp;";")),", "&amp;'3. Matrix'!A47,"")</f>
        <v>, C6, G1, G2, H3, O1, O2, O3, O4, O5</v>
      </c>
    </row>
    <row r="9" spans="1:7" ht="48" customHeight="1" x14ac:dyDescent="0.35">
      <c r="A9" s="69" t="s">
        <v>243</v>
      </c>
      <c r="B9" s="70" t="s">
        <v>357</v>
      </c>
      <c r="C9" s="70" t="s">
        <v>348</v>
      </c>
      <c r="D9" s="70" t="s">
        <v>358</v>
      </c>
      <c r="E9" s="70" t="str">
        <f t="shared" si="0"/>
        <v>G6</v>
      </c>
      <c r="F9" s="70" t="str">
        <f t="shared" si="1"/>
        <v>11.4 Errors and Omissions — Requirements</v>
      </c>
      <c r="G9" t="str">
        <f>IF(ISNUMBER(SEARCH(";"&amp;A9&amp;";",";"&amp;'3. Matrix'!AB6&amp;";")),", "&amp;'3. Matrix'!A6,"")&amp;IF(ISNUMBER(SEARCH(";"&amp;A9&amp;";",";"&amp;'3. Matrix'!AB7&amp;";")),", "&amp;'3. Matrix'!A7,"")&amp;IF(ISNUMBER(SEARCH(";"&amp;A9&amp;";",";"&amp;'3. Matrix'!AB8&amp;";")),", "&amp;'3. Matrix'!A8,"")&amp;IF(ISNUMBER(SEARCH(";"&amp;A9&amp;";",";"&amp;'3. Matrix'!AB9&amp;";")),", "&amp;'3. Matrix'!A9,"")&amp;IF(ISNUMBER(SEARCH(";"&amp;A9&amp;";",";"&amp;'3. Matrix'!AB10&amp;";")),", "&amp;'3. Matrix'!A10,"")&amp;IF(ISNUMBER(SEARCH(";"&amp;A9&amp;";",";"&amp;'3. Matrix'!AB11&amp;";")),", "&amp;'3. Matrix'!A11,"")&amp;IF(ISNUMBER(SEARCH(";"&amp;A9&amp;";",";"&amp;'3. Matrix'!AB12&amp;";")),", "&amp;'3. Matrix'!A12,"")&amp;IF(ISNUMBER(SEARCH(";"&amp;A9&amp;";",";"&amp;'3. Matrix'!AB13&amp;";")),", "&amp;'3. Matrix'!A13,"")&amp;IF(ISNUMBER(SEARCH(";"&amp;A9&amp;";",";"&amp;'3. Matrix'!AB14&amp;";")),", "&amp;'3. Matrix'!A14,"")&amp;IF(ISNUMBER(SEARCH(";"&amp;A9&amp;";",";"&amp;'3. Matrix'!AB15&amp;";")),", "&amp;'3. Matrix'!A15,"")&amp;IF(ISNUMBER(SEARCH(";"&amp;A9&amp;";",";"&amp;'3. Matrix'!AB16&amp;";")),", "&amp;'3. Matrix'!A16,"")&amp;IF(ISNUMBER(SEARCH(";"&amp;A9&amp;";",";"&amp;'3. Matrix'!AB17&amp;";")),", "&amp;'3. Matrix'!A17,"")&amp;IF(ISNUMBER(SEARCH(";"&amp;A9&amp;";",";"&amp;'3. Matrix'!AB18&amp;";")),", "&amp;'3. Matrix'!A18,"")&amp;IF(ISNUMBER(SEARCH(";"&amp;A9&amp;";",";"&amp;'3. Matrix'!AB19&amp;";")),", "&amp;'3. Matrix'!A19,"")&amp;IF(ISNUMBER(SEARCH(";"&amp;A9&amp;";",";"&amp;'3. Matrix'!AB20&amp;";")),", "&amp;'3. Matrix'!A20,"")&amp;IF(ISNUMBER(SEARCH(";"&amp;A9&amp;";",";"&amp;'3. Matrix'!AB21&amp;";")),", "&amp;'3. Matrix'!A21,"")&amp;IF(ISNUMBER(SEARCH(";"&amp;A9&amp;";",";"&amp;'3. Matrix'!AB22&amp;";")),", "&amp;'3. Matrix'!A22,"")&amp;IF(ISNUMBER(SEARCH(";"&amp;A9&amp;";",";"&amp;'3. Matrix'!AB23&amp;";")),", "&amp;'3. Matrix'!A23,"")&amp;IF(ISNUMBER(SEARCH(";"&amp;A9&amp;";",";"&amp;'3. Matrix'!AB24&amp;";")),", "&amp;'3. Matrix'!A24,"")&amp;IF(ISNUMBER(SEARCH(";"&amp;A9&amp;";",";"&amp;'3. Matrix'!AB25&amp;";")),", "&amp;'3. Matrix'!A25,"")&amp;IF(ISNUMBER(SEARCH(";"&amp;A9&amp;";",";"&amp;'3. Matrix'!AB26&amp;";")),", "&amp;'3. Matrix'!A26,"")&amp;IF(ISNUMBER(SEARCH(";"&amp;A9&amp;";",";"&amp;'3. Matrix'!AB27&amp;";")),", "&amp;'3. Matrix'!A27,"")&amp;IF(ISNUMBER(SEARCH(";"&amp;A9&amp;";",";"&amp;'3. Matrix'!AB28&amp;";")),", "&amp;'3. Matrix'!A28,"")&amp;IF(ISNUMBER(SEARCH(";"&amp;A9&amp;";",";"&amp;'3. Matrix'!AB29&amp;";")),", "&amp;'3. Matrix'!A29,"")&amp;IF(ISNUMBER(SEARCH(";"&amp;A9&amp;";",";"&amp;'3. Matrix'!AB30&amp;";")),", "&amp;'3. Matrix'!A30,"")&amp;IF(ISNUMBER(SEARCH(";"&amp;A9&amp;";",";"&amp;'3. Matrix'!AB31&amp;";")),", "&amp;'3. Matrix'!A31,"")&amp;IF(ISNUMBER(SEARCH(";"&amp;A9&amp;";",";"&amp;'3. Matrix'!AB32&amp;";")),", "&amp;'3. Matrix'!A32,"")&amp;IF(ISNUMBER(SEARCH(";"&amp;A9&amp;";",";"&amp;'3. Matrix'!AB33&amp;";")),", "&amp;'3. Matrix'!A33,"")&amp;IF(ISNUMBER(SEARCH(";"&amp;A9&amp;";",";"&amp;'3. Matrix'!AB34&amp;";")),", "&amp;'3. Matrix'!A34,"")&amp;IF(ISNUMBER(SEARCH(";"&amp;A9&amp;";",";"&amp;'3. Matrix'!AB35&amp;";")),", "&amp;'3. Matrix'!A35,"")&amp;IF(ISNUMBER(SEARCH(";"&amp;A9&amp;";",";"&amp;'3. Matrix'!AB36&amp;";")),", "&amp;'3. Matrix'!A36,"")&amp;IF(ISNUMBER(SEARCH(";"&amp;A9&amp;";",";"&amp;'3. Matrix'!AB37&amp;";")),", "&amp;'3. Matrix'!A37,"")&amp;IF(ISNUMBER(SEARCH(";"&amp;A9&amp;";",";"&amp;'3. Matrix'!AB38&amp;";")),", "&amp;'3. Matrix'!A38,"")&amp;IF(ISNUMBER(SEARCH(";"&amp;A9&amp;";",";"&amp;'3. Matrix'!AB39&amp;";")),", "&amp;'3. Matrix'!A39,"")&amp;IF(ISNUMBER(SEARCH(";"&amp;A9&amp;";",";"&amp;'3. Matrix'!AB40&amp;";")),", "&amp;'3. Matrix'!A40,"")&amp;IF(ISNUMBER(SEARCH(";"&amp;A9&amp;";",";"&amp;'3. Matrix'!AB41&amp;";")),", "&amp;'3. Matrix'!A41,"")&amp;IF(ISNUMBER(SEARCH(";"&amp;A9&amp;";",";"&amp;'3. Matrix'!AB42&amp;";")),", "&amp;'3. Matrix'!A42,"")&amp;IF(ISNUMBER(SEARCH(";"&amp;A9&amp;";",";"&amp;'3. Matrix'!AB43&amp;";")),", "&amp;'3. Matrix'!A43,"")&amp;IF(ISNUMBER(SEARCH(";"&amp;A9&amp;";",";"&amp;'3. Matrix'!AB44&amp;";")),", "&amp;'3. Matrix'!A44,"")&amp;IF(ISNUMBER(SEARCH(";"&amp;A9&amp;";",";"&amp;'3. Matrix'!AB45&amp;";")),", "&amp;'3. Matrix'!A45,"")&amp;IF(ISNUMBER(SEARCH(";"&amp;A9&amp;";",";"&amp;'3. Matrix'!AB46&amp;";")),", "&amp;'3. Matrix'!A46,"")&amp;IF(ISNUMBER(SEARCH(";"&amp;A9&amp;";",";"&amp;'3. Matrix'!AB47&amp;";")),", "&amp;'3. Matrix'!A47,"")</f>
        <v>, G6</v>
      </c>
    </row>
    <row r="10" spans="1:7" ht="48" customHeight="1" x14ac:dyDescent="0.35">
      <c r="A10" s="71" t="s">
        <v>247</v>
      </c>
      <c r="B10" s="72" t="s">
        <v>359</v>
      </c>
      <c r="C10" s="72" t="s">
        <v>348</v>
      </c>
      <c r="D10" s="72" t="s">
        <v>360</v>
      </c>
      <c r="E10" s="72" t="str">
        <f t="shared" si="0"/>
        <v>G7</v>
      </c>
      <c r="F10" s="72" t="str">
        <f t="shared" si="1"/>
        <v>11.5 Communicating the Acceptance of Risks — Requirements</v>
      </c>
      <c r="G10" t="str">
        <f>IF(ISNUMBER(SEARCH(";"&amp;A10&amp;";",";"&amp;'3. Matrix'!AB6&amp;";")),", "&amp;'3. Matrix'!A6,"")&amp;IF(ISNUMBER(SEARCH(";"&amp;A10&amp;";",";"&amp;'3. Matrix'!AB7&amp;";")),", "&amp;'3. Matrix'!A7,"")&amp;IF(ISNUMBER(SEARCH(";"&amp;A10&amp;";",";"&amp;'3. Matrix'!AB8&amp;";")),", "&amp;'3. Matrix'!A8,"")&amp;IF(ISNUMBER(SEARCH(";"&amp;A10&amp;";",";"&amp;'3. Matrix'!AB9&amp;";")),", "&amp;'3. Matrix'!A9,"")&amp;IF(ISNUMBER(SEARCH(";"&amp;A10&amp;";",";"&amp;'3. Matrix'!AB10&amp;";")),", "&amp;'3. Matrix'!A10,"")&amp;IF(ISNUMBER(SEARCH(";"&amp;A10&amp;";",";"&amp;'3. Matrix'!AB11&amp;";")),", "&amp;'3. Matrix'!A11,"")&amp;IF(ISNUMBER(SEARCH(";"&amp;A10&amp;";",";"&amp;'3. Matrix'!AB12&amp;";")),", "&amp;'3. Matrix'!A12,"")&amp;IF(ISNUMBER(SEARCH(";"&amp;A10&amp;";",";"&amp;'3. Matrix'!AB13&amp;";")),", "&amp;'3. Matrix'!A13,"")&amp;IF(ISNUMBER(SEARCH(";"&amp;A10&amp;";",";"&amp;'3. Matrix'!AB14&amp;";")),", "&amp;'3. Matrix'!A14,"")&amp;IF(ISNUMBER(SEARCH(";"&amp;A10&amp;";",";"&amp;'3. Matrix'!AB15&amp;";")),", "&amp;'3. Matrix'!A15,"")&amp;IF(ISNUMBER(SEARCH(";"&amp;A10&amp;";",";"&amp;'3. Matrix'!AB16&amp;";")),", "&amp;'3. Matrix'!A16,"")&amp;IF(ISNUMBER(SEARCH(";"&amp;A10&amp;";",";"&amp;'3. Matrix'!AB17&amp;";")),", "&amp;'3. Matrix'!A17,"")&amp;IF(ISNUMBER(SEARCH(";"&amp;A10&amp;";",";"&amp;'3. Matrix'!AB18&amp;";")),", "&amp;'3. Matrix'!A18,"")&amp;IF(ISNUMBER(SEARCH(";"&amp;A10&amp;";",";"&amp;'3. Matrix'!AB19&amp;";")),", "&amp;'3. Matrix'!A19,"")&amp;IF(ISNUMBER(SEARCH(";"&amp;A10&amp;";",";"&amp;'3. Matrix'!AB20&amp;";")),", "&amp;'3. Matrix'!A20,"")&amp;IF(ISNUMBER(SEARCH(";"&amp;A10&amp;";",";"&amp;'3. Matrix'!AB21&amp;";")),", "&amp;'3. Matrix'!A21,"")&amp;IF(ISNUMBER(SEARCH(";"&amp;A10&amp;";",";"&amp;'3. Matrix'!AB22&amp;";")),", "&amp;'3. Matrix'!A22,"")&amp;IF(ISNUMBER(SEARCH(";"&amp;A10&amp;";",";"&amp;'3. Matrix'!AB23&amp;";")),", "&amp;'3. Matrix'!A23,"")&amp;IF(ISNUMBER(SEARCH(";"&amp;A10&amp;";",";"&amp;'3. Matrix'!AB24&amp;";")),", "&amp;'3. Matrix'!A24,"")&amp;IF(ISNUMBER(SEARCH(";"&amp;A10&amp;";",";"&amp;'3. Matrix'!AB25&amp;";")),", "&amp;'3. Matrix'!A25,"")&amp;IF(ISNUMBER(SEARCH(";"&amp;A10&amp;";",";"&amp;'3. Matrix'!AB26&amp;";")),", "&amp;'3. Matrix'!A26,"")&amp;IF(ISNUMBER(SEARCH(";"&amp;A10&amp;";",";"&amp;'3. Matrix'!AB27&amp;";")),", "&amp;'3. Matrix'!A27,"")&amp;IF(ISNUMBER(SEARCH(";"&amp;A10&amp;";",";"&amp;'3. Matrix'!AB28&amp;";")),", "&amp;'3. Matrix'!A28,"")&amp;IF(ISNUMBER(SEARCH(";"&amp;A10&amp;";",";"&amp;'3. Matrix'!AB29&amp;";")),", "&amp;'3. Matrix'!A29,"")&amp;IF(ISNUMBER(SEARCH(";"&amp;A10&amp;";",";"&amp;'3. Matrix'!AB30&amp;";")),", "&amp;'3. Matrix'!A30,"")&amp;IF(ISNUMBER(SEARCH(";"&amp;A10&amp;";",";"&amp;'3. Matrix'!AB31&amp;";")),", "&amp;'3. Matrix'!A31,"")&amp;IF(ISNUMBER(SEARCH(";"&amp;A10&amp;";",";"&amp;'3. Matrix'!AB32&amp;";")),", "&amp;'3. Matrix'!A32,"")&amp;IF(ISNUMBER(SEARCH(";"&amp;A10&amp;";",";"&amp;'3. Matrix'!AB33&amp;";")),", "&amp;'3. Matrix'!A33,"")&amp;IF(ISNUMBER(SEARCH(";"&amp;A10&amp;";",";"&amp;'3. Matrix'!AB34&amp;";")),", "&amp;'3. Matrix'!A34,"")&amp;IF(ISNUMBER(SEARCH(";"&amp;A10&amp;";",";"&amp;'3. Matrix'!AB35&amp;";")),", "&amp;'3. Matrix'!A35,"")&amp;IF(ISNUMBER(SEARCH(";"&amp;A10&amp;";",";"&amp;'3. Matrix'!AB36&amp;";")),", "&amp;'3. Matrix'!A36,"")&amp;IF(ISNUMBER(SEARCH(";"&amp;A10&amp;";",";"&amp;'3. Matrix'!AB37&amp;";")),", "&amp;'3. Matrix'!A37,"")&amp;IF(ISNUMBER(SEARCH(";"&amp;A10&amp;";",";"&amp;'3. Matrix'!AB38&amp;";")),", "&amp;'3. Matrix'!A38,"")&amp;IF(ISNUMBER(SEARCH(";"&amp;A10&amp;";",";"&amp;'3. Matrix'!AB39&amp;";")),", "&amp;'3. Matrix'!A39,"")&amp;IF(ISNUMBER(SEARCH(";"&amp;A10&amp;";",";"&amp;'3. Matrix'!AB40&amp;";")),", "&amp;'3. Matrix'!A40,"")&amp;IF(ISNUMBER(SEARCH(";"&amp;A10&amp;";",";"&amp;'3. Matrix'!AB41&amp;";")),", "&amp;'3. Matrix'!A41,"")&amp;IF(ISNUMBER(SEARCH(";"&amp;A10&amp;";",";"&amp;'3. Matrix'!AB42&amp;";")),", "&amp;'3. Matrix'!A42,"")&amp;IF(ISNUMBER(SEARCH(";"&amp;A10&amp;";",";"&amp;'3. Matrix'!AB43&amp;";")),", "&amp;'3. Matrix'!A43,"")&amp;IF(ISNUMBER(SEARCH(";"&amp;A10&amp;";",";"&amp;'3. Matrix'!AB44&amp;";")),", "&amp;'3. Matrix'!A44,"")&amp;IF(ISNUMBER(SEARCH(";"&amp;A10&amp;";",";"&amp;'3. Matrix'!AB45&amp;";")),", "&amp;'3. Matrix'!A45,"")&amp;IF(ISNUMBER(SEARCH(";"&amp;A10&amp;";",";"&amp;'3. Matrix'!AB46&amp;";")),", "&amp;'3. Matrix'!A46,"")&amp;IF(ISNUMBER(SEARCH(";"&amp;A10&amp;";",";"&amp;'3. Matrix'!AB47&amp;";")),", "&amp;'3. Matrix'!A47,"")</f>
        <v>, G7</v>
      </c>
    </row>
    <row r="11" spans="1:7" ht="48" customHeight="1" x14ac:dyDescent="0.35">
      <c r="A11" s="69" t="s">
        <v>361</v>
      </c>
      <c r="B11" s="70" t="s">
        <v>362</v>
      </c>
      <c r="C11" s="70" t="s">
        <v>348</v>
      </c>
      <c r="D11" s="70" t="s">
        <v>363</v>
      </c>
      <c r="E11" s="70" t="str">
        <f t="shared" si="0"/>
        <v>D5, H5</v>
      </c>
      <c r="F11" s="70" t="str">
        <f t="shared" si="1"/>
        <v>13.1 Engagement Communication — Requirements</v>
      </c>
      <c r="G11" t="str">
        <f>IF(ISNUMBER(SEARCH(";"&amp;A11&amp;";",";"&amp;'3. Matrix'!AB6&amp;";")),", "&amp;'3. Matrix'!A6,"")&amp;IF(ISNUMBER(SEARCH(";"&amp;A11&amp;";",";"&amp;'3. Matrix'!AB7&amp;";")),", "&amp;'3. Matrix'!A7,"")&amp;IF(ISNUMBER(SEARCH(";"&amp;A11&amp;";",";"&amp;'3. Matrix'!AB8&amp;";")),", "&amp;'3. Matrix'!A8,"")&amp;IF(ISNUMBER(SEARCH(";"&amp;A11&amp;";",";"&amp;'3. Matrix'!AB9&amp;";")),", "&amp;'3. Matrix'!A9,"")&amp;IF(ISNUMBER(SEARCH(";"&amp;A11&amp;";",";"&amp;'3. Matrix'!AB10&amp;";")),", "&amp;'3. Matrix'!A10,"")&amp;IF(ISNUMBER(SEARCH(";"&amp;A11&amp;";",";"&amp;'3. Matrix'!AB11&amp;";")),", "&amp;'3. Matrix'!A11,"")&amp;IF(ISNUMBER(SEARCH(";"&amp;A11&amp;";",";"&amp;'3. Matrix'!AB12&amp;";")),", "&amp;'3. Matrix'!A12,"")&amp;IF(ISNUMBER(SEARCH(";"&amp;A11&amp;";",";"&amp;'3. Matrix'!AB13&amp;";")),", "&amp;'3. Matrix'!A13,"")&amp;IF(ISNUMBER(SEARCH(";"&amp;A11&amp;";",";"&amp;'3. Matrix'!AB14&amp;";")),", "&amp;'3. Matrix'!A14,"")&amp;IF(ISNUMBER(SEARCH(";"&amp;A11&amp;";",";"&amp;'3. Matrix'!AB15&amp;";")),", "&amp;'3. Matrix'!A15,"")&amp;IF(ISNUMBER(SEARCH(";"&amp;A11&amp;";",";"&amp;'3. Matrix'!AB16&amp;";")),", "&amp;'3. Matrix'!A16,"")&amp;IF(ISNUMBER(SEARCH(";"&amp;A11&amp;";",";"&amp;'3. Matrix'!AB17&amp;";")),", "&amp;'3. Matrix'!A17,"")&amp;IF(ISNUMBER(SEARCH(";"&amp;A11&amp;";",";"&amp;'3. Matrix'!AB18&amp;";")),", "&amp;'3. Matrix'!A18,"")&amp;IF(ISNUMBER(SEARCH(";"&amp;A11&amp;";",";"&amp;'3. Matrix'!AB19&amp;";")),", "&amp;'3. Matrix'!A19,"")&amp;IF(ISNUMBER(SEARCH(";"&amp;A11&amp;";",";"&amp;'3. Matrix'!AB20&amp;";")),", "&amp;'3. Matrix'!A20,"")&amp;IF(ISNUMBER(SEARCH(";"&amp;A11&amp;";",";"&amp;'3. Matrix'!AB21&amp;";")),", "&amp;'3. Matrix'!A21,"")&amp;IF(ISNUMBER(SEARCH(";"&amp;A11&amp;";",";"&amp;'3. Matrix'!AB22&amp;";")),", "&amp;'3. Matrix'!A22,"")&amp;IF(ISNUMBER(SEARCH(";"&amp;A11&amp;";",";"&amp;'3. Matrix'!AB23&amp;";")),", "&amp;'3. Matrix'!A23,"")&amp;IF(ISNUMBER(SEARCH(";"&amp;A11&amp;";",";"&amp;'3. Matrix'!AB24&amp;";")),", "&amp;'3. Matrix'!A24,"")&amp;IF(ISNUMBER(SEARCH(";"&amp;A11&amp;";",";"&amp;'3. Matrix'!AB25&amp;";")),", "&amp;'3. Matrix'!A25,"")&amp;IF(ISNUMBER(SEARCH(";"&amp;A11&amp;";",";"&amp;'3. Matrix'!AB26&amp;";")),", "&amp;'3. Matrix'!A26,"")&amp;IF(ISNUMBER(SEARCH(";"&amp;A11&amp;";",";"&amp;'3. Matrix'!AB27&amp;";")),", "&amp;'3. Matrix'!A27,"")&amp;IF(ISNUMBER(SEARCH(";"&amp;A11&amp;";",";"&amp;'3. Matrix'!AB28&amp;";")),", "&amp;'3. Matrix'!A28,"")&amp;IF(ISNUMBER(SEARCH(";"&amp;A11&amp;";",";"&amp;'3. Matrix'!AB29&amp;";")),", "&amp;'3. Matrix'!A29,"")&amp;IF(ISNUMBER(SEARCH(";"&amp;A11&amp;";",";"&amp;'3. Matrix'!AB30&amp;";")),", "&amp;'3. Matrix'!A30,"")&amp;IF(ISNUMBER(SEARCH(";"&amp;A11&amp;";",";"&amp;'3. Matrix'!AB31&amp;";")),", "&amp;'3. Matrix'!A31,"")&amp;IF(ISNUMBER(SEARCH(";"&amp;A11&amp;";",";"&amp;'3. Matrix'!AB32&amp;";")),", "&amp;'3. Matrix'!A32,"")&amp;IF(ISNUMBER(SEARCH(";"&amp;A11&amp;";",";"&amp;'3. Matrix'!AB33&amp;";")),", "&amp;'3. Matrix'!A33,"")&amp;IF(ISNUMBER(SEARCH(";"&amp;A11&amp;";",";"&amp;'3. Matrix'!AB34&amp;";")),", "&amp;'3. Matrix'!A34,"")&amp;IF(ISNUMBER(SEARCH(";"&amp;A11&amp;";",";"&amp;'3. Matrix'!AB35&amp;";")),", "&amp;'3. Matrix'!A35,"")&amp;IF(ISNUMBER(SEARCH(";"&amp;A11&amp;";",";"&amp;'3. Matrix'!AB36&amp;";")),", "&amp;'3. Matrix'!A36,"")&amp;IF(ISNUMBER(SEARCH(";"&amp;A11&amp;";",";"&amp;'3. Matrix'!AB37&amp;";")),", "&amp;'3. Matrix'!A37,"")&amp;IF(ISNUMBER(SEARCH(";"&amp;A11&amp;";",";"&amp;'3. Matrix'!AB38&amp;";")),", "&amp;'3. Matrix'!A38,"")&amp;IF(ISNUMBER(SEARCH(";"&amp;A11&amp;";",";"&amp;'3. Matrix'!AB39&amp;";")),", "&amp;'3. Matrix'!A39,"")&amp;IF(ISNUMBER(SEARCH(";"&amp;A11&amp;";",";"&amp;'3. Matrix'!AB40&amp;";")),", "&amp;'3. Matrix'!A40,"")&amp;IF(ISNUMBER(SEARCH(";"&amp;A11&amp;";",";"&amp;'3. Matrix'!AB41&amp;";")),", "&amp;'3. Matrix'!A41,"")&amp;IF(ISNUMBER(SEARCH(";"&amp;A11&amp;";",";"&amp;'3. Matrix'!AB42&amp;";")),", "&amp;'3. Matrix'!A42,"")&amp;IF(ISNUMBER(SEARCH(";"&amp;A11&amp;";",";"&amp;'3. Matrix'!AB43&amp;";")),", "&amp;'3. Matrix'!A43,"")&amp;IF(ISNUMBER(SEARCH(";"&amp;A11&amp;";",";"&amp;'3. Matrix'!AB44&amp;";")),", "&amp;'3. Matrix'!A44,"")&amp;IF(ISNUMBER(SEARCH(";"&amp;A11&amp;";",";"&amp;'3. Matrix'!AB45&amp;";")),", "&amp;'3. Matrix'!A45,"")&amp;IF(ISNUMBER(SEARCH(";"&amp;A11&amp;";",";"&amp;'3. Matrix'!AB46&amp;";")),", "&amp;'3. Matrix'!A46,"")&amp;IF(ISNUMBER(SEARCH(";"&amp;A11&amp;";",";"&amp;'3. Matrix'!AB47&amp;";")),", "&amp;'3. Matrix'!A47,"")</f>
        <v>, D5, H5</v>
      </c>
    </row>
    <row r="12" spans="1:7" ht="48" customHeight="1" x14ac:dyDescent="0.35">
      <c r="A12" s="71" t="s">
        <v>364</v>
      </c>
      <c r="B12" s="72" t="s">
        <v>365</v>
      </c>
      <c r="C12" s="72" t="s">
        <v>348</v>
      </c>
      <c r="D12" s="72" t="s">
        <v>366</v>
      </c>
      <c r="E12" s="72" t="str">
        <f t="shared" si="0"/>
        <v>A1, A2, A3</v>
      </c>
      <c r="F12" s="72" t="str">
        <f t="shared" si="1"/>
        <v>13.3 Engagement Objectives and Scope — Requirements</v>
      </c>
      <c r="G12" t="str">
        <f>IF(ISNUMBER(SEARCH(";"&amp;A12&amp;";",";"&amp;'3. Matrix'!AB6&amp;";")),", "&amp;'3. Matrix'!A6,"")&amp;IF(ISNUMBER(SEARCH(";"&amp;A12&amp;";",";"&amp;'3. Matrix'!AB7&amp;";")),", "&amp;'3. Matrix'!A7,"")&amp;IF(ISNUMBER(SEARCH(";"&amp;A12&amp;";",";"&amp;'3. Matrix'!AB8&amp;";")),", "&amp;'3. Matrix'!A8,"")&amp;IF(ISNUMBER(SEARCH(";"&amp;A12&amp;";",";"&amp;'3. Matrix'!AB9&amp;";")),", "&amp;'3. Matrix'!A9,"")&amp;IF(ISNUMBER(SEARCH(";"&amp;A12&amp;";",";"&amp;'3. Matrix'!AB10&amp;";")),", "&amp;'3. Matrix'!A10,"")&amp;IF(ISNUMBER(SEARCH(";"&amp;A12&amp;";",";"&amp;'3. Matrix'!AB11&amp;";")),", "&amp;'3. Matrix'!A11,"")&amp;IF(ISNUMBER(SEARCH(";"&amp;A12&amp;";",";"&amp;'3. Matrix'!AB12&amp;";")),", "&amp;'3. Matrix'!A12,"")&amp;IF(ISNUMBER(SEARCH(";"&amp;A12&amp;";",";"&amp;'3. Matrix'!AB13&amp;";")),", "&amp;'3. Matrix'!A13,"")&amp;IF(ISNUMBER(SEARCH(";"&amp;A12&amp;";",";"&amp;'3. Matrix'!AB14&amp;";")),", "&amp;'3. Matrix'!A14,"")&amp;IF(ISNUMBER(SEARCH(";"&amp;A12&amp;";",";"&amp;'3. Matrix'!AB15&amp;";")),", "&amp;'3. Matrix'!A15,"")&amp;IF(ISNUMBER(SEARCH(";"&amp;A12&amp;";",";"&amp;'3. Matrix'!AB16&amp;";")),", "&amp;'3. Matrix'!A16,"")&amp;IF(ISNUMBER(SEARCH(";"&amp;A12&amp;";",";"&amp;'3. Matrix'!AB17&amp;";")),", "&amp;'3. Matrix'!A17,"")&amp;IF(ISNUMBER(SEARCH(";"&amp;A12&amp;";",";"&amp;'3. Matrix'!AB18&amp;";")),", "&amp;'3. Matrix'!A18,"")&amp;IF(ISNUMBER(SEARCH(";"&amp;A12&amp;";",";"&amp;'3. Matrix'!AB19&amp;";")),", "&amp;'3. Matrix'!A19,"")&amp;IF(ISNUMBER(SEARCH(";"&amp;A12&amp;";",";"&amp;'3. Matrix'!AB20&amp;";")),", "&amp;'3. Matrix'!A20,"")&amp;IF(ISNUMBER(SEARCH(";"&amp;A12&amp;";",";"&amp;'3. Matrix'!AB21&amp;";")),", "&amp;'3. Matrix'!A21,"")&amp;IF(ISNUMBER(SEARCH(";"&amp;A12&amp;";",";"&amp;'3. Matrix'!AB22&amp;";")),", "&amp;'3. Matrix'!A22,"")&amp;IF(ISNUMBER(SEARCH(";"&amp;A12&amp;";",";"&amp;'3. Matrix'!AB23&amp;";")),", "&amp;'3. Matrix'!A23,"")&amp;IF(ISNUMBER(SEARCH(";"&amp;A12&amp;";",";"&amp;'3. Matrix'!AB24&amp;";")),", "&amp;'3. Matrix'!A24,"")&amp;IF(ISNUMBER(SEARCH(";"&amp;A12&amp;";",";"&amp;'3. Matrix'!AB25&amp;";")),", "&amp;'3. Matrix'!A25,"")&amp;IF(ISNUMBER(SEARCH(";"&amp;A12&amp;";",";"&amp;'3. Matrix'!AB26&amp;";")),", "&amp;'3. Matrix'!A26,"")&amp;IF(ISNUMBER(SEARCH(";"&amp;A12&amp;";",";"&amp;'3. Matrix'!AB27&amp;";")),", "&amp;'3. Matrix'!A27,"")&amp;IF(ISNUMBER(SEARCH(";"&amp;A12&amp;";",";"&amp;'3. Matrix'!AB28&amp;";")),", "&amp;'3. Matrix'!A28,"")&amp;IF(ISNUMBER(SEARCH(";"&amp;A12&amp;";",";"&amp;'3. Matrix'!AB29&amp;";")),", "&amp;'3. Matrix'!A29,"")&amp;IF(ISNUMBER(SEARCH(";"&amp;A12&amp;";",";"&amp;'3. Matrix'!AB30&amp;";")),", "&amp;'3. Matrix'!A30,"")&amp;IF(ISNUMBER(SEARCH(";"&amp;A12&amp;";",";"&amp;'3. Matrix'!AB31&amp;";")),", "&amp;'3. Matrix'!A31,"")&amp;IF(ISNUMBER(SEARCH(";"&amp;A12&amp;";",";"&amp;'3. Matrix'!AB32&amp;";")),", "&amp;'3. Matrix'!A32,"")&amp;IF(ISNUMBER(SEARCH(";"&amp;A12&amp;";",";"&amp;'3. Matrix'!AB33&amp;";")),", "&amp;'3. Matrix'!A33,"")&amp;IF(ISNUMBER(SEARCH(";"&amp;A12&amp;";",";"&amp;'3. Matrix'!AB34&amp;";")),", "&amp;'3. Matrix'!A34,"")&amp;IF(ISNUMBER(SEARCH(";"&amp;A12&amp;";",";"&amp;'3. Matrix'!AB35&amp;";")),", "&amp;'3. Matrix'!A35,"")&amp;IF(ISNUMBER(SEARCH(";"&amp;A12&amp;";",";"&amp;'3. Matrix'!AB36&amp;";")),", "&amp;'3. Matrix'!A36,"")&amp;IF(ISNUMBER(SEARCH(";"&amp;A12&amp;";",";"&amp;'3. Matrix'!AB37&amp;";")),", "&amp;'3. Matrix'!A37,"")&amp;IF(ISNUMBER(SEARCH(";"&amp;A12&amp;";",";"&amp;'3. Matrix'!AB38&amp;";")),", "&amp;'3. Matrix'!A38,"")&amp;IF(ISNUMBER(SEARCH(";"&amp;A12&amp;";",";"&amp;'3. Matrix'!AB39&amp;";")),", "&amp;'3. Matrix'!A39,"")&amp;IF(ISNUMBER(SEARCH(";"&amp;A12&amp;";",";"&amp;'3. Matrix'!AB40&amp;";")),", "&amp;'3. Matrix'!A40,"")&amp;IF(ISNUMBER(SEARCH(";"&amp;A12&amp;";",";"&amp;'3. Matrix'!AB41&amp;";")),", "&amp;'3. Matrix'!A41,"")&amp;IF(ISNUMBER(SEARCH(";"&amp;A12&amp;";",";"&amp;'3. Matrix'!AB42&amp;";")),", "&amp;'3. Matrix'!A42,"")&amp;IF(ISNUMBER(SEARCH(";"&amp;A12&amp;";",";"&amp;'3. Matrix'!AB43&amp;";")),", "&amp;'3. Matrix'!A43,"")&amp;IF(ISNUMBER(SEARCH(";"&amp;A12&amp;";",";"&amp;'3. Matrix'!AB44&amp;";")),", "&amp;'3. Matrix'!A44,"")&amp;IF(ISNUMBER(SEARCH(";"&amp;A12&amp;";",";"&amp;'3. Matrix'!AB45&amp;";")),", "&amp;'3. Matrix'!A45,"")&amp;IF(ISNUMBER(SEARCH(";"&amp;A12&amp;";",";"&amp;'3. Matrix'!AB46&amp;";")),", "&amp;'3. Matrix'!A46,"")&amp;IF(ISNUMBER(SEARCH(";"&amp;A12&amp;";",";"&amp;'3. Matrix'!AB47&amp;";")),", "&amp;'3. Matrix'!A47,"")</f>
        <v>, A1, A2, A3</v>
      </c>
    </row>
    <row r="13" spans="1:7" ht="48" customHeight="1" x14ac:dyDescent="0.35">
      <c r="A13" s="69" t="s">
        <v>145</v>
      </c>
      <c r="B13" s="70" t="s">
        <v>367</v>
      </c>
      <c r="C13" s="70" t="s">
        <v>348</v>
      </c>
      <c r="D13" s="70" t="s">
        <v>368</v>
      </c>
      <c r="E13" s="70" t="str">
        <f t="shared" si="0"/>
        <v>B1, B2</v>
      </c>
      <c r="F13" s="70" t="str">
        <f t="shared" si="1"/>
        <v>13.4 Evaluation Criteria — Requirements</v>
      </c>
      <c r="G13" t="str">
        <f>IF(ISNUMBER(SEARCH(";"&amp;A13&amp;";",";"&amp;'3. Matrix'!AB6&amp;";")),", "&amp;'3. Matrix'!A6,"")&amp;IF(ISNUMBER(SEARCH(";"&amp;A13&amp;";",";"&amp;'3. Matrix'!AB7&amp;";")),", "&amp;'3. Matrix'!A7,"")&amp;IF(ISNUMBER(SEARCH(";"&amp;A13&amp;";",";"&amp;'3. Matrix'!AB8&amp;";")),", "&amp;'3. Matrix'!A8,"")&amp;IF(ISNUMBER(SEARCH(";"&amp;A13&amp;";",";"&amp;'3. Matrix'!AB9&amp;";")),", "&amp;'3. Matrix'!A9,"")&amp;IF(ISNUMBER(SEARCH(";"&amp;A13&amp;";",";"&amp;'3. Matrix'!AB10&amp;";")),", "&amp;'3. Matrix'!A10,"")&amp;IF(ISNUMBER(SEARCH(";"&amp;A13&amp;";",";"&amp;'3. Matrix'!AB11&amp;";")),", "&amp;'3. Matrix'!A11,"")&amp;IF(ISNUMBER(SEARCH(";"&amp;A13&amp;";",";"&amp;'3. Matrix'!AB12&amp;";")),", "&amp;'3. Matrix'!A12,"")&amp;IF(ISNUMBER(SEARCH(";"&amp;A13&amp;";",";"&amp;'3. Matrix'!AB13&amp;";")),", "&amp;'3. Matrix'!A13,"")&amp;IF(ISNUMBER(SEARCH(";"&amp;A13&amp;";",";"&amp;'3. Matrix'!AB14&amp;";")),", "&amp;'3. Matrix'!A14,"")&amp;IF(ISNUMBER(SEARCH(";"&amp;A13&amp;";",";"&amp;'3. Matrix'!AB15&amp;";")),", "&amp;'3. Matrix'!A15,"")&amp;IF(ISNUMBER(SEARCH(";"&amp;A13&amp;";",";"&amp;'3. Matrix'!AB16&amp;";")),", "&amp;'3. Matrix'!A16,"")&amp;IF(ISNUMBER(SEARCH(";"&amp;A13&amp;";",";"&amp;'3. Matrix'!AB17&amp;";")),", "&amp;'3. Matrix'!A17,"")&amp;IF(ISNUMBER(SEARCH(";"&amp;A13&amp;";",";"&amp;'3. Matrix'!AB18&amp;";")),", "&amp;'3. Matrix'!A18,"")&amp;IF(ISNUMBER(SEARCH(";"&amp;A13&amp;";",";"&amp;'3. Matrix'!AB19&amp;";")),", "&amp;'3. Matrix'!A19,"")&amp;IF(ISNUMBER(SEARCH(";"&amp;A13&amp;";",";"&amp;'3. Matrix'!AB20&amp;";")),", "&amp;'3. Matrix'!A20,"")&amp;IF(ISNUMBER(SEARCH(";"&amp;A13&amp;";",";"&amp;'3. Matrix'!AB21&amp;";")),", "&amp;'3. Matrix'!A21,"")&amp;IF(ISNUMBER(SEARCH(";"&amp;A13&amp;";",";"&amp;'3. Matrix'!AB22&amp;";")),", "&amp;'3. Matrix'!A22,"")&amp;IF(ISNUMBER(SEARCH(";"&amp;A13&amp;";",";"&amp;'3. Matrix'!AB23&amp;";")),", "&amp;'3. Matrix'!A23,"")&amp;IF(ISNUMBER(SEARCH(";"&amp;A13&amp;";",";"&amp;'3. Matrix'!AB24&amp;";")),", "&amp;'3. Matrix'!A24,"")&amp;IF(ISNUMBER(SEARCH(";"&amp;A13&amp;";",";"&amp;'3. Matrix'!AB25&amp;";")),", "&amp;'3. Matrix'!A25,"")&amp;IF(ISNUMBER(SEARCH(";"&amp;A13&amp;";",";"&amp;'3. Matrix'!AB26&amp;";")),", "&amp;'3. Matrix'!A26,"")&amp;IF(ISNUMBER(SEARCH(";"&amp;A13&amp;";",";"&amp;'3. Matrix'!AB27&amp;";")),", "&amp;'3. Matrix'!A27,"")&amp;IF(ISNUMBER(SEARCH(";"&amp;A13&amp;";",";"&amp;'3. Matrix'!AB28&amp;";")),", "&amp;'3. Matrix'!A28,"")&amp;IF(ISNUMBER(SEARCH(";"&amp;A13&amp;";",";"&amp;'3. Matrix'!AB29&amp;";")),", "&amp;'3. Matrix'!A29,"")&amp;IF(ISNUMBER(SEARCH(";"&amp;A13&amp;";",";"&amp;'3. Matrix'!AB30&amp;";")),", "&amp;'3. Matrix'!A30,"")&amp;IF(ISNUMBER(SEARCH(";"&amp;A13&amp;";",";"&amp;'3. Matrix'!AB31&amp;";")),", "&amp;'3. Matrix'!A31,"")&amp;IF(ISNUMBER(SEARCH(";"&amp;A13&amp;";",";"&amp;'3. Matrix'!AB32&amp;";")),", "&amp;'3. Matrix'!A32,"")&amp;IF(ISNUMBER(SEARCH(";"&amp;A13&amp;";",";"&amp;'3. Matrix'!AB33&amp;";")),", "&amp;'3. Matrix'!A33,"")&amp;IF(ISNUMBER(SEARCH(";"&amp;A13&amp;";",";"&amp;'3. Matrix'!AB34&amp;";")),", "&amp;'3. Matrix'!A34,"")&amp;IF(ISNUMBER(SEARCH(";"&amp;A13&amp;";",";"&amp;'3. Matrix'!AB35&amp;";")),", "&amp;'3. Matrix'!A35,"")&amp;IF(ISNUMBER(SEARCH(";"&amp;A13&amp;";",";"&amp;'3. Matrix'!AB36&amp;";")),", "&amp;'3. Matrix'!A36,"")&amp;IF(ISNUMBER(SEARCH(";"&amp;A13&amp;";",";"&amp;'3. Matrix'!AB37&amp;";")),", "&amp;'3. Matrix'!A37,"")&amp;IF(ISNUMBER(SEARCH(";"&amp;A13&amp;";",";"&amp;'3. Matrix'!AB38&amp;";")),", "&amp;'3. Matrix'!A38,"")&amp;IF(ISNUMBER(SEARCH(";"&amp;A13&amp;";",";"&amp;'3. Matrix'!AB39&amp;";")),", "&amp;'3. Matrix'!A39,"")&amp;IF(ISNUMBER(SEARCH(";"&amp;A13&amp;";",";"&amp;'3. Matrix'!AB40&amp;";")),", "&amp;'3. Matrix'!A40,"")&amp;IF(ISNUMBER(SEARCH(";"&amp;A13&amp;";",";"&amp;'3. Matrix'!AB41&amp;";")),", "&amp;'3. Matrix'!A41,"")&amp;IF(ISNUMBER(SEARCH(";"&amp;A13&amp;";",";"&amp;'3. Matrix'!AB42&amp;";")),", "&amp;'3. Matrix'!A42,"")&amp;IF(ISNUMBER(SEARCH(";"&amp;A13&amp;";",";"&amp;'3. Matrix'!AB43&amp;";")),", "&amp;'3. Matrix'!A43,"")&amp;IF(ISNUMBER(SEARCH(";"&amp;A13&amp;";",";"&amp;'3. Matrix'!AB44&amp;";")),", "&amp;'3. Matrix'!A44,"")&amp;IF(ISNUMBER(SEARCH(";"&amp;A13&amp;";",";"&amp;'3. Matrix'!AB45&amp;";")),", "&amp;'3. Matrix'!A45,"")&amp;IF(ISNUMBER(SEARCH(";"&amp;A13&amp;";",";"&amp;'3. Matrix'!AB46&amp;";")),", "&amp;'3. Matrix'!A46,"")&amp;IF(ISNUMBER(SEARCH(";"&amp;A13&amp;";",";"&amp;'3. Matrix'!AB47&amp;";")),", "&amp;'3. Matrix'!A47,"")</f>
        <v>, B1, B2</v>
      </c>
    </row>
    <row r="14" spans="1:7" ht="48" customHeight="1" x14ac:dyDescent="0.35">
      <c r="A14" s="71" t="s">
        <v>369</v>
      </c>
      <c r="B14" s="72" t="s">
        <v>370</v>
      </c>
      <c r="C14" s="72" t="s">
        <v>348</v>
      </c>
      <c r="D14" s="72" t="s">
        <v>371</v>
      </c>
      <c r="E14" s="72" t="str">
        <f t="shared" si="0"/>
        <v>C5</v>
      </c>
      <c r="F14" s="72" t="str">
        <f t="shared" si="1"/>
        <v>14.1 Gathering Information for Analyses and Evaluation — Requirements</v>
      </c>
      <c r="G14" t="str">
        <f>IF(ISNUMBER(SEARCH(";"&amp;A14&amp;";",";"&amp;'3. Matrix'!AB6&amp;";")),", "&amp;'3. Matrix'!A6,"")&amp;IF(ISNUMBER(SEARCH(";"&amp;A14&amp;";",";"&amp;'3. Matrix'!AB7&amp;";")),", "&amp;'3. Matrix'!A7,"")&amp;IF(ISNUMBER(SEARCH(";"&amp;A14&amp;";",";"&amp;'3. Matrix'!AB8&amp;";")),", "&amp;'3. Matrix'!A8,"")&amp;IF(ISNUMBER(SEARCH(";"&amp;A14&amp;";",";"&amp;'3. Matrix'!AB9&amp;";")),", "&amp;'3. Matrix'!A9,"")&amp;IF(ISNUMBER(SEARCH(";"&amp;A14&amp;";",";"&amp;'3. Matrix'!AB10&amp;";")),", "&amp;'3. Matrix'!A10,"")&amp;IF(ISNUMBER(SEARCH(";"&amp;A14&amp;";",";"&amp;'3. Matrix'!AB11&amp;";")),", "&amp;'3. Matrix'!A11,"")&amp;IF(ISNUMBER(SEARCH(";"&amp;A14&amp;";",";"&amp;'3. Matrix'!AB12&amp;";")),", "&amp;'3. Matrix'!A12,"")&amp;IF(ISNUMBER(SEARCH(";"&amp;A14&amp;";",";"&amp;'3. Matrix'!AB13&amp;";")),", "&amp;'3. Matrix'!A13,"")&amp;IF(ISNUMBER(SEARCH(";"&amp;A14&amp;";",";"&amp;'3. Matrix'!AB14&amp;";")),", "&amp;'3. Matrix'!A14,"")&amp;IF(ISNUMBER(SEARCH(";"&amp;A14&amp;";",";"&amp;'3. Matrix'!AB15&amp;";")),", "&amp;'3. Matrix'!A15,"")&amp;IF(ISNUMBER(SEARCH(";"&amp;A14&amp;";",";"&amp;'3. Matrix'!AB16&amp;";")),", "&amp;'3. Matrix'!A16,"")&amp;IF(ISNUMBER(SEARCH(";"&amp;A14&amp;";",";"&amp;'3. Matrix'!AB17&amp;";")),", "&amp;'3. Matrix'!A17,"")&amp;IF(ISNUMBER(SEARCH(";"&amp;A14&amp;";",";"&amp;'3. Matrix'!AB18&amp;";")),", "&amp;'3. Matrix'!A18,"")&amp;IF(ISNUMBER(SEARCH(";"&amp;A14&amp;";",";"&amp;'3. Matrix'!AB19&amp;";")),", "&amp;'3. Matrix'!A19,"")&amp;IF(ISNUMBER(SEARCH(";"&amp;A14&amp;";",";"&amp;'3. Matrix'!AB20&amp;";")),", "&amp;'3. Matrix'!A20,"")&amp;IF(ISNUMBER(SEARCH(";"&amp;A14&amp;";",";"&amp;'3. Matrix'!AB21&amp;";")),", "&amp;'3. Matrix'!A21,"")&amp;IF(ISNUMBER(SEARCH(";"&amp;A14&amp;";",";"&amp;'3. Matrix'!AB22&amp;";")),", "&amp;'3. Matrix'!A22,"")&amp;IF(ISNUMBER(SEARCH(";"&amp;A14&amp;";",";"&amp;'3. Matrix'!AB23&amp;";")),", "&amp;'3. Matrix'!A23,"")&amp;IF(ISNUMBER(SEARCH(";"&amp;A14&amp;";",";"&amp;'3. Matrix'!AB24&amp;";")),", "&amp;'3. Matrix'!A24,"")&amp;IF(ISNUMBER(SEARCH(";"&amp;A14&amp;";",";"&amp;'3. Matrix'!AB25&amp;";")),", "&amp;'3. Matrix'!A25,"")&amp;IF(ISNUMBER(SEARCH(";"&amp;A14&amp;";",";"&amp;'3. Matrix'!AB26&amp;";")),", "&amp;'3. Matrix'!A26,"")&amp;IF(ISNUMBER(SEARCH(";"&amp;A14&amp;";",";"&amp;'3. Matrix'!AB27&amp;";")),", "&amp;'3. Matrix'!A27,"")&amp;IF(ISNUMBER(SEARCH(";"&amp;A14&amp;";",";"&amp;'3. Matrix'!AB28&amp;";")),", "&amp;'3. Matrix'!A28,"")&amp;IF(ISNUMBER(SEARCH(";"&amp;A14&amp;";",";"&amp;'3. Matrix'!AB29&amp;";")),", "&amp;'3. Matrix'!A29,"")&amp;IF(ISNUMBER(SEARCH(";"&amp;A14&amp;";",";"&amp;'3. Matrix'!AB30&amp;";")),", "&amp;'3. Matrix'!A30,"")&amp;IF(ISNUMBER(SEARCH(";"&amp;A14&amp;";",";"&amp;'3. Matrix'!AB31&amp;";")),", "&amp;'3. Matrix'!A31,"")&amp;IF(ISNUMBER(SEARCH(";"&amp;A14&amp;";",";"&amp;'3. Matrix'!AB32&amp;";")),", "&amp;'3. Matrix'!A32,"")&amp;IF(ISNUMBER(SEARCH(";"&amp;A14&amp;";",";"&amp;'3. Matrix'!AB33&amp;";")),", "&amp;'3. Matrix'!A33,"")&amp;IF(ISNUMBER(SEARCH(";"&amp;A14&amp;";",";"&amp;'3. Matrix'!AB34&amp;";")),", "&amp;'3. Matrix'!A34,"")&amp;IF(ISNUMBER(SEARCH(";"&amp;A14&amp;";",";"&amp;'3. Matrix'!AB35&amp;";")),", "&amp;'3. Matrix'!A35,"")&amp;IF(ISNUMBER(SEARCH(";"&amp;A14&amp;";",";"&amp;'3. Matrix'!AB36&amp;";")),", "&amp;'3. Matrix'!A36,"")&amp;IF(ISNUMBER(SEARCH(";"&amp;A14&amp;";",";"&amp;'3. Matrix'!AB37&amp;";")),", "&amp;'3. Matrix'!A37,"")&amp;IF(ISNUMBER(SEARCH(";"&amp;A14&amp;";",";"&amp;'3. Matrix'!AB38&amp;";")),", "&amp;'3. Matrix'!A38,"")&amp;IF(ISNUMBER(SEARCH(";"&amp;A14&amp;";",";"&amp;'3. Matrix'!AB39&amp;";")),", "&amp;'3. Matrix'!A39,"")&amp;IF(ISNUMBER(SEARCH(";"&amp;A14&amp;";",";"&amp;'3. Matrix'!AB40&amp;";")),", "&amp;'3. Matrix'!A40,"")&amp;IF(ISNUMBER(SEARCH(";"&amp;A14&amp;";",";"&amp;'3. Matrix'!AB41&amp;";")),", "&amp;'3. Matrix'!A41,"")&amp;IF(ISNUMBER(SEARCH(";"&amp;A14&amp;";",";"&amp;'3. Matrix'!AB42&amp;";")),", "&amp;'3. Matrix'!A42,"")&amp;IF(ISNUMBER(SEARCH(";"&amp;A14&amp;";",";"&amp;'3. Matrix'!AB43&amp;";")),", "&amp;'3. Matrix'!A43,"")&amp;IF(ISNUMBER(SEARCH(";"&amp;A14&amp;";",";"&amp;'3. Matrix'!AB44&amp;";")),", "&amp;'3. Matrix'!A44,"")&amp;IF(ISNUMBER(SEARCH(";"&amp;A14&amp;";",";"&amp;'3. Matrix'!AB45&amp;";")),", "&amp;'3. Matrix'!A45,"")&amp;IF(ISNUMBER(SEARCH(";"&amp;A14&amp;";",";"&amp;'3. Matrix'!AB46&amp;";")),", "&amp;'3. Matrix'!A46,"")&amp;IF(ISNUMBER(SEARCH(";"&amp;A14&amp;";",";"&amp;'3. Matrix'!AB47&amp;";")),", "&amp;'3. Matrix'!A47,"")</f>
        <v>, C5</v>
      </c>
    </row>
    <row r="15" spans="1:7" ht="48" customHeight="1" x14ac:dyDescent="0.35">
      <c r="A15" s="69" t="s">
        <v>149</v>
      </c>
      <c r="B15" s="70" t="s">
        <v>372</v>
      </c>
      <c r="C15" s="70" t="s">
        <v>348</v>
      </c>
      <c r="D15" s="70" t="s">
        <v>373</v>
      </c>
      <c r="E15" s="70" t="str">
        <f t="shared" si="0"/>
        <v>B1, C1</v>
      </c>
      <c r="F15" s="70" t="str">
        <f t="shared" si="1"/>
        <v>14.2 Analyses and Potential Engagement Findings — Requirements</v>
      </c>
      <c r="G15" t="str">
        <f>IF(ISNUMBER(SEARCH(";"&amp;A15&amp;";",";"&amp;'3. Matrix'!AB6&amp;";")),", "&amp;'3. Matrix'!A6,"")&amp;IF(ISNUMBER(SEARCH(";"&amp;A15&amp;";",";"&amp;'3. Matrix'!AB7&amp;";")),", "&amp;'3. Matrix'!A7,"")&amp;IF(ISNUMBER(SEARCH(";"&amp;A15&amp;";",";"&amp;'3. Matrix'!AB8&amp;";")),", "&amp;'3. Matrix'!A8,"")&amp;IF(ISNUMBER(SEARCH(";"&amp;A15&amp;";",";"&amp;'3. Matrix'!AB9&amp;";")),", "&amp;'3. Matrix'!A9,"")&amp;IF(ISNUMBER(SEARCH(";"&amp;A15&amp;";",";"&amp;'3. Matrix'!AB10&amp;";")),", "&amp;'3. Matrix'!A10,"")&amp;IF(ISNUMBER(SEARCH(";"&amp;A15&amp;";",";"&amp;'3. Matrix'!AB11&amp;";")),", "&amp;'3. Matrix'!A11,"")&amp;IF(ISNUMBER(SEARCH(";"&amp;A15&amp;";",";"&amp;'3. Matrix'!AB12&amp;";")),", "&amp;'3. Matrix'!A12,"")&amp;IF(ISNUMBER(SEARCH(";"&amp;A15&amp;";",";"&amp;'3. Matrix'!AB13&amp;";")),", "&amp;'3. Matrix'!A13,"")&amp;IF(ISNUMBER(SEARCH(";"&amp;A15&amp;";",";"&amp;'3. Matrix'!AB14&amp;";")),", "&amp;'3. Matrix'!A14,"")&amp;IF(ISNUMBER(SEARCH(";"&amp;A15&amp;";",";"&amp;'3. Matrix'!AB15&amp;";")),", "&amp;'3. Matrix'!A15,"")&amp;IF(ISNUMBER(SEARCH(";"&amp;A15&amp;";",";"&amp;'3. Matrix'!AB16&amp;";")),", "&amp;'3. Matrix'!A16,"")&amp;IF(ISNUMBER(SEARCH(";"&amp;A15&amp;";",";"&amp;'3. Matrix'!AB17&amp;";")),", "&amp;'3. Matrix'!A17,"")&amp;IF(ISNUMBER(SEARCH(";"&amp;A15&amp;";",";"&amp;'3. Matrix'!AB18&amp;";")),", "&amp;'3. Matrix'!A18,"")&amp;IF(ISNUMBER(SEARCH(";"&amp;A15&amp;";",";"&amp;'3. Matrix'!AB19&amp;";")),", "&amp;'3. Matrix'!A19,"")&amp;IF(ISNUMBER(SEARCH(";"&amp;A15&amp;";",";"&amp;'3. Matrix'!AB20&amp;";")),", "&amp;'3. Matrix'!A20,"")&amp;IF(ISNUMBER(SEARCH(";"&amp;A15&amp;";",";"&amp;'3. Matrix'!AB21&amp;";")),", "&amp;'3. Matrix'!A21,"")&amp;IF(ISNUMBER(SEARCH(";"&amp;A15&amp;";",";"&amp;'3. Matrix'!AB22&amp;";")),", "&amp;'3. Matrix'!A22,"")&amp;IF(ISNUMBER(SEARCH(";"&amp;A15&amp;";",";"&amp;'3. Matrix'!AB23&amp;";")),", "&amp;'3. Matrix'!A23,"")&amp;IF(ISNUMBER(SEARCH(";"&amp;A15&amp;";",";"&amp;'3. Matrix'!AB24&amp;";")),", "&amp;'3. Matrix'!A24,"")&amp;IF(ISNUMBER(SEARCH(";"&amp;A15&amp;";",";"&amp;'3. Matrix'!AB25&amp;";")),", "&amp;'3. Matrix'!A25,"")&amp;IF(ISNUMBER(SEARCH(";"&amp;A15&amp;";",";"&amp;'3. Matrix'!AB26&amp;";")),", "&amp;'3. Matrix'!A26,"")&amp;IF(ISNUMBER(SEARCH(";"&amp;A15&amp;";",";"&amp;'3. Matrix'!AB27&amp;";")),", "&amp;'3. Matrix'!A27,"")&amp;IF(ISNUMBER(SEARCH(";"&amp;A15&amp;";",";"&amp;'3. Matrix'!AB28&amp;";")),", "&amp;'3. Matrix'!A28,"")&amp;IF(ISNUMBER(SEARCH(";"&amp;A15&amp;";",";"&amp;'3. Matrix'!AB29&amp;";")),", "&amp;'3. Matrix'!A29,"")&amp;IF(ISNUMBER(SEARCH(";"&amp;A15&amp;";",";"&amp;'3. Matrix'!AB30&amp;";")),", "&amp;'3. Matrix'!A30,"")&amp;IF(ISNUMBER(SEARCH(";"&amp;A15&amp;";",";"&amp;'3. Matrix'!AB31&amp;";")),", "&amp;'3. Matrix'!A31,"")&amp;IF(ISNUMBER(SEARCH(";"&amp;A15&amp;";",";"&amp;'3. Matrix'!AB32&amp;";")),", "&amp;'3. Matrix'!A32,"")&amp;IF(ISNUMBER(SEARCH(";"&amp;A15&amp;";",";"&amp;'3. Matrix'!AB33&amp;";")),", "&amp;'3. Matrix'!A33,"")&amp;IF(ISNUMBER(SEARCH(";"&amp;A15&amp;";",";"&amp;'3. Matrix'!AB34&amp;";")),", "&amp;'3. Matrix'!A34,"")&amp;IF(ISNUMBER(SEARCH(";"&amp;A15&amp;";",";"&amp;'3. Matrix'!AB35&amp;";")),", "&amp;'3. Matrix'!A35,"")&amp;IF(ISNUMBER(SEARCH(";"&amp;A15&amp;";",";"&amp;'3. Matrix'!AB36&amp;";")),", "&amp;'3. Matrix'!A36,"")&amp;IF(ISNUMBER(SEARCH(";"&amp;A15&amp;";",";"&amp;'3. Matrix'!AB37&amp;";")),", "&amp;'3. Matrix'!A37,"")&amp;IF(ISNUMBER(SEARCH(";"&amp;A15&amp;";",";"&amp;'3. Matrix'!AB38&amp;";")),", "&amp;'3. Matrix'!A38,"")&amp;IF(ISNUMBER(SEARCH(";"&amp;A15&amp;";",";"&amp;'3. Matrix'!AB39&amp;";")),", "&amp;'3. Matrix'!A39,"")&amp;IF(ISNUMBER(SEARCH(";"&amp;A15&amp;";",";"&amp;'3. Matrix'!AB40&amp;";")),", "&amp;'3. Matrix'!A40,"")&amp;IF(ISNUMBER(SEARCH(";"&amp;A15&amp;";",";"&amp;'3. Matrix'!AB41&amp;";")),", "&amp;'3. Matrix'!A41,"")&amp;IF(ISNUMBER(SEARCH(";"&amp;A15&amp;";",";"&amp;'3. Matrix'!AB42&amp;";")),", "&amp;'3. Matrix'!A42,"")&amp;IF(ISNUMBER(SEARCH(";"&amp;A15&amp;";",";"&amp;'3. Matrix'!AB43&amp;";")),", "&amp;'3. Matrix'!A43,"")&amp;IF(ISNUMBER(SEARCH(";"&amp;A15&amp;";",";"&amp;'3. Matrix'!AB44&amp;";")),", "&amp;'3. Matrix'!A44,"")&amp;IF(ISNUMBER(SEARCH(";"&amp;A15&amp;";",";"&amp;'3. Matrix'!AB45&amp;";")),", "&amp;'3. Matrix'!A45,"")&amp;IF(ISNUMBER(SEARCH(";"&amp;A15&amp;";",";"&amp;'3. Matrix'!AB46&amp;";")),", "&amp;'3. Matrix'!A46,"")&amp;IF(ISNUMBER(SEARCH(";"&amp;A15&amp;";",";"&amp;'3. Matrix'!AB47&amp;";")),", "&amp;'3. Matrix'!A47,"")</f>
        <v>, B1, C1</v>
      </c>
    </row>
    <row r="16" spans="1:7" ht="48" customHeight="1" x14ac:dyDescent="0.35">
      <c r="A16" s="71" t="s">
        <v>153</v>
      </c>
      <c r="B16" s="72" t="s">
        <v>374</v>
      </c>
      <c r="C16" s="72" t="s">
        <v>348</v>
      </c>
      <c r="D16" s="72" t="s">
        <v>375</v>
      </c>
      <c r="E16" s="72" t="str">
        <f t="shared" si="0"/>
        <v>C2, C3, C4, H2, H3</v>
      </c>
      <c r="F16" s="72" t="str">
        <f t="shared" si="1"/>
        <v>14.3 Evaluation of Findings — Requirements</v>
      </c>
      <c r="G16" t="str">
        <f>IF(ISNUMBER(SEARCH(";"&amp;A16&amp;";",";"&amp;'3. Matrix'!AB6&amp;";")),", "&amp;'3. Matrix'!A6,"")&amp;IF(ISNUMBER(SEARCH(";"&amp;A16&amp;";",";"&amp;'3. Matrix'!AB7&amp;";")),", "&amp;'3. Matrix'!A7,"")&amp;IF(ISNUMBER(SEARCH(";"&amp;A16&amp;";",";"&amp;'3. Matrix'!AB8&amp;";")),", "&amp;'3. Matrix'!A8,"")&amp;IF(ISNUMBER(SEARCH(";"&amp;A16&amp;";",";"&amp;'3. Matrix'!AB9&amp;";")),", "&amp;'3. Matrix'!A9,"")&amp;IF(ISNUMBER(SEARCH(";"&amp;A16&amp;";",";"&amp;'3. Matrix'!AB10&amp;";")),", "&amp;'3. Matrix'!A10,"")&amp;IF(ISNUMBER(SEARCH(";"&amp;A16&amp;";",";"&amp;'3. Matrix'!AB11&amp;";")),", "&amp;'3. Matrix'!A11,"")&amp;IF(ISNUMBER(SEARCH(";"&amp;A16&amp;";",";"&amp;'3. Matrix'!AB12&amp;";")),", "&amp;'3. Matrix'!A12,"")&amp;IF(ISNUMBER(SEARCH(";"&amp;A16&amp;";",";"&amp;'3. Matrix'!AB13&amp;";")),", "&amp;'3. Matrix'!A13,"")&amp;IF(ISNUMBER(SEARCH(";"&amp;A16&amp;";",";"&amp;'3. Matrix'!AB14&amp;";")),", "&amp;'3. Matrix'!A14,"")&amp;IF(ISNUMBER(SEARCH(";"&amp;A16&amp;";",";"&amp;'3. Matrix'!AB15&amp;";")),", "&amp;'3. Matrix'!A15,"")&amp;IF(ISNUMBER(SEARCH(";"&amp;A16&amp;";",";"&amp;'3. Matrix'!AB16&amp;";")),", "&amp;'3. Matrix'!A16,"")&amp;IF(ISNUMBER(SEARCH(";"&amp;A16&amp;";",";"&amp;'3. Matrix'!AB17&amp;";")),", "&amp;'3. Matrix'!A17,"")&amp;IF(ISNUMBER(SEARCH(";"&amp;A16&amp;";",";"&amp;'3. Matrix'!AB18&amp;";")),", "&amp;'3. Matrix'!A18,"")&amp;IF(ISNUMBER(SEARCH(";"&amp;A16&amp;";",";"&amp;'3. Matrix'!AB19&amp;";")),", "&amp;'3. Matrix'!A19,"")&amp;IF(ISNUMBER(SEARCH(";"&amp;A16&amp;";",";"&amp;'3. Matrix'!AB20&amp;";")),", "&amp;'3. Matrix'!A20,"")&amp;IF(ISNUMBER(SEARCH(";"&amp;A16&amp;";",";"&amp;'3. Matrix'!AB21&amp;";")),", "&amp;'3. Matrix'!A21,"")&amp;IF(ISNUMBER(SEARCH(";"&amp;A16&amp;";",";"&amp;'3. Matrix'!AB22&amp;";")),", "&amp;'3. Matrix'!A22,"")&amp;IF(ISNUMBER(SEARCH(";"&amp;A16&amp;";",";"&amp;'3. Matrix'!AB23&amp;";")),", "&amp;'3. Matrix'!A23,"")&amp;IF(ISNUMBER(SEARCH(";"&amp;A16&amp;";",";"&amp;'3. Matrix'!AB24&amp;";")),", "&amp;'3. Matrix'!A24,"")&amp;IF(ISNUMBER(SEARCH(";"&amp;A16&amp;";",";"&amp;'3. Matrix'!AB25&amp;";")),", "&amp;'3. Matrix'!A25,"")&amp;IF(ISNUMBER(SEARCH(";"&amp;A16&amp;";",";"&amp;'3. Matrix'!AB26&amp;";")),", "&amp;'3. Matrix'!A26,"")&amp;IF(ISNUMBER(SEARCH(";"&amp;A16&amp;";",";"&amp;'3. Matrix'!AB27&amp;";")),", "&amp;'3. Matrix'!A27,"")&amp;IF(ISNUMBER(SEARCH(";"&amp;A16&amp;";",";"&amp;'3. Matrix'!AB28&amp;";")),", "&amp;'3. Matrix'!A28,"")&amp;IF(ISNUMBER(SEARCH(";"&amp;A16&amp;";",";"&amp;'3. Matrix'!AB29&amp;";")),", "&amp;'3. Matrix'!A29,"")&amp;IF(ISNUMBER(SEARCH(";"&amp;A16&amp;";",";"&amp;'3. Matrix'!AB30&amp;";")),", "&amp;'3. Matrix'!A30,"")&amp;IF(ISNUMBER(SEARCH(";"&amp;A16&amp;";",";"&amp;'3. Matrix'!AB31&amp;";")),", "&amp;'3. Matrix'!A31,"")&amp;IF(ISNUMBER(SEARCH(";"&amp;A16&amp;";",";"&amp;'3. Matrix'!AB32&amp;";")),", "&amp;'3. Matrix'!A32,"")&amp;IF(ISNUMBER(SEARCH(";"&amp;A16&amp;";",";"&amp;'3. Matrix'!AB33&amp;";")),", "&amp;'3. Matrix'!A33,"")&amp;IF(ISNUMBER(SEARCH(";"&amp;A16&amp;";",";"&amp;'3. Matrix'!AB34&amp;";")),", "&amp;'3. Matrix'!A34,"")&amp;IF(ISNUMBER(SEARCH(";"&amp;A16&amp;";",";"&amp;'3. Matrix'!AB35&amp;";")),", "&amp;'3. Matrix'!A35,"")&amp;IF(ISNUMBER(SEARCH(";"&amp;A16&amp;";",";"&amp;'3. Matrix'!AB36&amp;";")),", "&amp;'3. Matrix'!A36,"")&amp;IF(ISNUMBER(SEARCH(";"&amp;A16&amp;";",";"&amp;'3. Matrix'!AB37&amp;";")),", "&amp;'3. Matrix'!A37,"")&amp;IF(ISNUMBER(SEARCH(";"&amp;A16&amp;";",";"&amp;'3. Matrix'!AB38&amp;";")),", "&amp;'3. Matrix'!A38,"")&amp;IF(ISNUMBER(SEARCH(";"&amp;A16&amp;";",";"&amp;'3. Matrix'!AB39&amp;";")),", "&amp;'3. Matrix'!A39,"")&amp;IF(ISNUMBER(SEARCH(";"&amp;A16&amp;";",";"&amp;'3. Matrix'!AB40&amp;";")),", "&amp;'3. Matrix'!A40,"")&amp;IF(ISNUMBER(SEARCH(";"&amp;A16&amp;";",";"&amp;'3. Matrix'!AB41&amp;";")),", "&amp;'3. Matrix'!A41,"")&amp;IF(ISNUMBER(SEARCH(";"&amp;A16&amp;";",";"&amp;'3. Matrix'!AB42&amp;";")),", "&amp;'3. Matrix'!A42,"")&amp;IF(ISNUMBER(SEARCH(";"&amp;A16&amp;";",";"&amp;'3. Matrix'!AB43&amp;";")),", "&amp;'3. Matrix'!A43,"")&amp;IF(ISNUMBER(SEARCH(";"&amp;A16&amp;";",";"&amp;'3. Matrix'!AB44&amp;";")),", "&amp;'3. Matrix'!A44,"")&amp;IF(ISNUMBER(SEARCH(";"&amp;A16&amp;";",";"&amp;'3. Matrix'!AB45&amp;";")),", "&amp;'3. Matrix'!A45,"")&amp;IF(ISNUMBER(SEARCH(";"&amp;A16&amp;";",";"&amp;'3. Matrix'!AB46&amp;";")),", "&amp;'3. Matrix'!A46,"")&amp;IF(ISNUMBER(SEARCH(";"&amp;A16&amp;";",";"&amp;'3. Matrix'!AB47&amp;";")),", "&amp;'3. Matrix'!A47,"")</f>
        <v>, C2, C3, C4, H2, H3</v>
      </c>
    </row>
    <row r="17" spans="1:7" ht="48" customHeight="1" x14ac:dyDescent="0.35">
      <c r="A17" s="69" t="s">
        <v>376</v>
      </c>
      <c r="B17" s="70" t="s">
        <v>377</v>
      </c>
      <c r="C17" s="70" t="s">
        <v>348</v>
      </c>
      <c r="D17" s="70" t="s">
        <v>378</v>
      </c>
      <c r="E17" s="70" t="str">
        <f t="shared" si="0"/>
        <v>D1, D5, H5</v>
      </c>
      <c r="F17" s="70" t="str">
        <f t="shared" si="1"/>
        <v>14.4 Recommendations and Action Plans — Requirements</v>
      </c>
      <c r="G17" t="str">
        <f>IF(ISNUMBER(SEARCH(";"&amp;A17&amp;";",";"&amp;'3. Matrix'!AB6&amp;";")),", "&amp;'3. Matrix'!A6,"")&amp;IF(ISNUMBER(SEARCH(";"&amp;A17&amp;";",";"&amp;'3. Matrix'!AB7&amp;";")),", "&amp;'3. Matrix'!A7,"")&amp;IF(ISNUMBER(SEARCH(";"&amp;A17&amp;";",";"&amp;'3. Matrix'!AB8&amp;";")),", "&amp;'3. Matrix'!A8,"")&amp;IF(ISNUMBER(SEARCH(";"&amp;A17&amp;";",";"&amp;'3. Matrix'!AB9&amp;";")),", "&amp;'3. Matrix'!A9,"")&amp;IF(ISNUMBER(SEARCH(";"&amp;A17&amp;";",";"&amp;'3. Matrix'!AB10&amp;";")),", "&amp;'3. Matrix'!A10,"")&amp;IF(ISNUMBER(SEARCH(";"&amp;A17&amp;";",";"&amp;'3. Matrix'!AB11&amp;";")),", "&amp;'3. Matrix'!A11,"")&amp;IF(ISNUMBER(SEARCH(";"&amp;A17&amp;";",";"&amp;'3. Matrix'!AB12&amp;";")),", "&amp;'3. Matrix'!A12,"")&amp;IF(ISNUMBER(SEARCH(";"&amp;A17&amp;";",";"&amp;'3. Matrix'!AB13&amp;";")),", "&amp;'3. Matrix'!A13,"")&amp;IF(ISNUMBER(SEARCH(";"&amp;A17&amp;";",";"&amp;'3. Matrix'!AB14&amp;";")),", "&amp;'3. Matrix'!A14,"")&amp;IF(ISNUMBER(SEARCH(";"&amp;A17&amp;";",";"&amp;'3. Matrix'!AB15&amp;";")),", "&amp;'3. Matrix'!A15,"")&amp;IF(ISNUMBER(SEARCH(";"&amp;A17&amp;";",";"&amp;'3. Matrix'!AB16&amp;";")),", "&amp;'3. Matrix'!A16,"")&amp;IF(ISNUMBER(SEARCH(";"&amp;A17&amp;";",";"&amp;'3. Matrix'!AB17&amp;";")),", "&amp;'3. Matrix'!A17,"")&amp;IF(ISNUMBER(SEARCH(";"&amp;A17&amp;";",";"&amp;'3. Matrix'!AB18&amp;";")),", "&amp;'3. Matrix'!A18,"")&amp;IF(ISNUMBER(SEARCH(";"&amp;A17&amp;";",";"&amp;'3. Matrix'!AB19&amp;";")),", "&amp;'3. Matrix'!A19,"")&amp;IF(ISNUMBER(SEARCH(";"&amp;A17&amp;";",";"&amp;'3. Matrix'!AB20&amp;";")),", "&amp;'3. Matrix'!A20,"")&amp;IF(ISNUMBER(SEARCH(";"&amp;A17&amp;";",";"&amp;'3. Matrix'!AB21&amp;";")),", "&amp;'3. Matrix'!A21,"")&amp;IF(ISNUMBER(SEARCH(";"&amp;A17&amp;";",";"&amp;'3. Matrix'!AB22&amp;";")),", "&amp;'3. Matrix'!A22,"")&amp;IF(ISNUMBER(SEARCH(";"&amp;A17&amp;";",";"&amp;'3. Matrix'!AB23&amp;";")),", "&amp;'3. Matrix'!A23,"")&amp;IF(ISNUMBER(SEARCH(";"&amp;A17&amp;";",";"&amp;'3. Matrix'!AB24&amp;";")),", "&amp;'3. Matrix'!A24,"")&amp;IF(ISNUMBER(SEARCH(";"&amp;A17&amp;";",";"&amp;'3. Matrix'!AB25&amp;";")),", "&amp;'3. Matrix'!A25,"")&amp;IF(ISNUMBER(SEARCH(";"&amp;A17&amp;";",";"&amp;'3. Matrix'!AB26&amp;";")),", "&amp;'3. Matrix'!A26,"")&amp;IF(ISNUMBER(SEARCH(";"&amp;A17&amp;";",";"&amp;'3. Matrix'!AB27&amp;";")),", "&amp;'3. Matrix'!A27,"")&amp;IF(ISNUMBER(SEARCH(";"&amp;A17&amp;";",";"&amp;'3. Matrix'!AB28&amp;";")),", "&amp;'3. Matrix'!A28,"")&amp;IF(ISNUMBER(SEARCH(";"&amp;A17&amp;";",";"&amp;'3. Matrix'!AB29&amp;";")),", "&amp;'3. Matrix'!A29,"")&amp;IF(ISNUMBER(SEARCH(";"&amp;A17&amp;";",";"&amp;'3. Matrix'!AB30&amp;";")),", "&amp;'3. Matrix'!A30,"")&amp;IF(ISNUMBER(SEARCH(";"&amp;A17&amp;";",";"&amp;'3. Matrix'!AB31&amp;";")),", "&amp;'3. Matrix'!A31,"")&amp;IF(ISNUMBER(SEARCH(";"&amp;A17&amp;";",";"&amp;'3. Matrix'!AB32&amp;";")),", "&amp;'3. Matrix'!A32,"")&amp;IF(ISNUMBER(SEARCH(";"&amp;A17&amp;";",";"&amp;'3. Matrix'!AB33&amp;";")),", "&amp;'3. Matrix'!A33,"")&amp;IF(ISNUMBER(SEARCH(";"&amp;A17&amp;";",";"&amp;'3. Matrix'!AB34&amp;";")),", "&amp;'3. Matrix'!A34,"")&amp;IF(ISNUMBER(SEARCH(";"&amp;A17&amp;";",";"&amp;'3. Matrix'!AB35&amp;";")),", "&amp;'3. Matrix'!A35,"")&amp;IF(ISNUMBER(SEARCH(";"&amp;A17&amp;";",";"&amp;'3. Matrix'!AB36&amp;";")),", "&amp;'3. Matrix'!A36,"")&amp;IF(ISNUMBER(SEARCH(";"&amp;A17&amp;";",";"&amp;'3. Matrix'!AB37&amp;";")),", "&amp;'3. Matrix'!A37,"")&amp;IF(ISNUMBER(SEARCH(";"&amp;A17&amp;";",";"&amp;'3. Matrix'!AB38&amp;";")),", "&amp;'3. Matrix'!A38,"")&amp;IF(ISNUMBER(SEARCH(";"&amp;A17&amp;";",";"&amp;'3. Matrix'!AB39&amp;";")),", "&amp;'3. Matrix'!A39,"")&amp;IF(ISNUMBER(SEARCH(";"&amp;A17&amp;";",";"&amp;'3. Matrix'!AB40&amp;";")),", "&amp;'3. Matrix'!A40,"")&amp;IF(ISNUMBER(SEARCH(";"&amp;A17&amp;";",";"&amp;'3. Matrix'!AB41&amp;";")),", "&amp;'3. Matrix'!A41,"")&amp;IF(ISNUMBER(SEARCH(";"&amp;A17&amp;";",";"&amp;'3. Matrix'!AB42&amp;";")),", "&amp;'3. Matrix'!A42,"")&amp;IF(ISNUMBER(SEARCH(";"&amp;A17&amp;";",";"&amp;'3. Matrix'!AB43&amp;";")),", "&amp;'3. Matrix'!A43,"")&amp;IF(ISNUMBER(SEARCH(";"&amp;A17&amp;";",";"&amp;'3. Matrix'!AB44&amp;";")),", "&amp;'3. Matrix'!A44,"")&amp;IF(ISNUMBER(SEARCH(";"&amp;A17&amp;";",";"&amp;'3. Matrix'!AB45&amp;";")),", "&amp;'3. Matrix'!A45,"")&amp;IF(ISNUMBER(SEARCH(";"&amp;A17&amp;";",";"&amp;'3. Matrix'!AB46&amp;";")),", "&amp;'3. Matrix'!A46,"")&amp;IF(ISNUMBER(SEARCH(";"&amp;A17&amp;";",";"&amp;'3. Matrix'!AB47&amp;";")),", "&amp;'3. Matrix'!A47,"")</f>
        <v>, D1, D5, H5</v>
      </c>
    </row>
    <row r="18" spans="1:7" ht="48" customHeight="1" x14ac:dyDescent="0.35">
      <c r="A18" s="71" t="s">
        <v>197</v>
      </c>
      <c r="B18" s="72" t="s">
        <v>379</v>
      </c>
      <c r="C18" s="72" t="s">
        <v>348</v>
      </c>
      <c r="D18" s="72" t="s">
        <v>380</v>
      </c>
      <c r="E18" s="72" t="str">
        <f t="shared" si="0"/>
        <v>C6, E1, E2, H4</v>
      </c>
      <c r="F18" s="72" t="str">
        <f t="shared" si="1"/>
        <v>14.5 Engagement Conclusions — Requirements</v>
      </c>
      <c r="G18" t="str">
        <f>IF(ISNUMBER(SEARCH(";"&amp;A18&amp;";",";"&amp;'3. Matrix'!AB6&amp;";")),", "&amp;'3. Matrix'!A6,"")&amp;IF(ISNUMBER(SEARCH(";"&amp;A18&amp;";",";"&amp;'3. Matrix'!AB7&amp;";")),", "&amp;'3. Matrix'!A7,"")&amp;IF(ISNUMBER(SEARCH(";"&amp;A18&amp;";",";"&amp;'3. Matrix'!AB8&amp;";")),", "&amp;'3. Matrix'!A8,"")&amp;IF(ISNUMBER(SEARCH(";"&amp;A18&amp;";",";"&amp;'3. Matrix'!AB9&amp;";")),", "&amp;'3. Matrix'!A9,"")&amp;IF(ISNUMBER(SEARCH(";"&amp;A18&amp;";",";"&amp;'3. Matrix'!AB10&amp;";")),", "&amp;'3. Matrix'!A10,"")&amp;IF(ISNUMBER(SEARCH(";"&amp;A18&amp;";",";"&amp;'3. Matrix'!AB11&amp;";")),", "&amp;'3. Matrix'!A11,"")&amp;IF(ISNUMBER(SEARCH(";"&amp;A18&amp;";",";"&amp;'3. Matrix'!AB12&amp;";")),", "&amp;'3. Matrix'!A12,"")&amp;IF(ISNUMBER(SEARCH(";"&amp;A18&amp;";",";"&amp;'3. Matrix'!AB13&amp;";")),", "&amp;'3. Matrix'!A13,"")&amp;IF(ISNUMBER(SEARCH(";"&amp;A18&amp;";",";"&amp;'3. Matrix'!AB14&amp;";")),", "&amp;'3. Matrix'!A14,"")&amp;IF(ISNUMBER(SEARCH(";"&amp;A18&amp;";",";"&amp;'3. Matrix'!AB15&amp;";")),", "&amp;'3. Matrix'!A15,"")&amp;IF(ISNUMBER(SEARCH(";"&amp;A18&amp;";",";"&amp;'3. Matrix'!AB16&amp;";")),", "&amp;'3. Matrix'!A16,"")&amp;IF(ISNUMBER(SEARCH(";"&amp;A18&amp;";",";"&amp;'3. Matrix'!AB17&amp;";")),", "&amp;'3. Matrix'!A17,"")&amp;IF(ISNUMBER(SEARCH(";"&amp;A18&amp;";",";"&amp;'3. Matrix'!AB18&amp;";")),", "&amp;'3. Matrix'!A18,"")&amp;IF(ISNUMBER(SEARCH(";"&amp;A18&amp;";",";"&amp;'3. Matrix'!AB19&amp;";")),", "&amp;'3. Matrix'!A19,"")&amp;IF(ISNUMBER(SEARCH(";"&amp;A18&amp;";",";"&amp;'3. Matrix'!AB20&amp;";")),", "&amp;'3. Matrix'!A20,"")&amp;IF(ISNUMBER(SEARCH(";"&amp;A18&amp;";",";"&amp;'3. Matrix'!AB21&amp;";")),", "&amp;'3. Matrix'!A21,"")&amp;IF(ISNUMBER(SEARCH(";"&amp;A18&amp;";",";"&amp;'3. Matrix'!AB22&amp;";")),", "&amp;'3. Matrix'!A22,"")&amp;IF(ISNUMBER(SEARCH(";"&amp;A18&amp;";",";"&amp;'3. Matrix'!AB23&amp;";")),", "&amp;'3. Matrix'!A23,"")&amp;IF(ISNUMBER(SEARCH(";"&amp;A18&amp;";",";"&amp;'3. Matrix'!AB24&amp;";")),", "&amp;'3. Matrix'!A24,"")&amp;IF(ISNUMBER(SEARCH(";"&amp;A18&amp;";",";"&amp;'3. Matrix'!AB25&amp;";")),", "&amp;'3. Matrix'!A25,"")&amp;IF(ISNUMBER(SEARCH(";"&amp;A18&amp;";",";"&amp;'3. Matrix'!AB26&amp;";")),", "&amp;'3. Matrix'!A26,"")&amp;IF(ISNUMBER(SEARCH(";"&amp;A18&amp;";",";"&amp;'3. Matrix'!AB27&amp;";")),", "&amp;'3. Matrix'!A27,"")&amp;IF(ISNUMBER(SEARCH(";"&amp;A18&amp;";",";"&amp;'3. Matrix'!AB28&amp;";")),", "&amp;'3. Matrix'!A28,"")&amp;IF(ISNUMBER(SEARCH(";"&amp;A18&amp;";",";"&amp;'3. Matrix'!AB29&amp;";")),", "&amp;'3. Matrix'!A29,"")&amp;IF(ISNUMBER(SEARCH(";"&amp;A18&amp;";",";"&amp;'3. Matrix'!AB30&amp;";")),", "&amp;'3. Matrix'!A30,"")&amp;IF(ISNUMBER(SEARCH(";"&amp;A18&amp;";",";"&amp;'3. Matrix'!AB31&amp;";")),", "&amp;'3. Matrix'!A31,"")&amp;IF(ISNUMBER(SEARCH(";"&amp;A18&amp;";",";"&amp;'3. Matrix'!AB32&amp;";")),", "&amp;'3. Matrix'!A32,"")&amp;IF(ISNUMBER(SEARCH(";"&amp;A18&amp;";",";"&amp;'3. Matrix'!AB33&amp;";")),", "&amp;'3. Matrix'!A33,"")&amp;IF(ISNUMBER(SEARCH(";"&amp;A18&amp;";",";"&amp;'3. Matrix'!AB34&amp;";")),", "&amp;'3. Matrix'!A34,"")&amp;IF(ISNUMBER(SEARCH(";"&amp;A18&amp;";",";"&amp;'3. Matrix'!AB35&amp;";")),", "&amp;'3. Matrix'!A35,"")&amp;IF(ISNUMBER(SEARCH(";"&amp;A18&amp;";",";"&amp;'3. Matrix'!AB36&amp;";")),", "&amp;'3. Matrix'!A36,"")&amp;IF(ISNUMBER(SEARCH(";"&amp;A18&amp;";",";"&amp;'3. Matrix'!AB37&amp;";")),", "&amp;'3. Matrix'!A37,"")&amp;IF(ISNUMBER(SEARCH(";"&amp;A18&amp;";",";"&amp;'3. Matrix'!AB38&amp;";")),", "&amp;'3. Matrix'!A38,"")&amp;IF(ISNUMBER(SEARCH(";"&amp;A18&amp;";",";"&amp;'3. Matrix'!AB39&amp;";")),", "&amp;'3. Matrix'!A39,"")&amp;IF(ISNUMBER(SEARCH(";"&amp;A18&amp;";",";"&amp;'3. Matrix'!AB40&amp;";")),", "&amp;'3. Matrix'!A40,"")&amp;IF(ISNUMBER(SEARCH(";"&amp;A18&amp;";",";"&amp;'3. Matrix'!AB41&amp;";")),", "&amp;'3. Matrix'!A41,"")&amp;IF(ISNUMBER(SEARCH(";"&amp;A18&amp;";",";"&amp;'3. Matrix'!AB42&amp;";")),", "&amp;'3. Matrix'!A42,"")&amp;IF(ISNUMBER(SEARCH(";"&amp;A18&amp;";",";"&amp;'3. Matrix'!AB43&amp;";")),", "&amp;'3. Matrix'!A43,"")&amp;IF(ISNUMBER(SEARCH(";"&amp;A18&amp;";",";"&amp;'3. Matrix'!AB44&amp;";")),", "&amp;'3. Matrix'!A44,"")&amp;IF(ISNUMBER(SEARCH(";"&amp;A18&amp;";",";"&amp;'3. Matrix'!AB45&amp;";")),", "&amp;'3. Matrix'!A45,"")&amp;IF(ISNUMBER(SEARCH(";"&amp;A18&amp;";",";"&amp;'3. Matrix'!AB46&amp;";")),", "&amp;'3. Matrix'!A46,"")&amp;IF(ISNUMBER(SEARCH(";"&amp;A18&amp;";",";"&amp;'3. Matrix'!AB47&amp;";")),", "&amp;'3. Matrix'!A47,"")</f>
        <v>, C6, E1, E2, H4</v>
      </c>
    </row>
    <row r="19" spans="1:7" ht="48" customHeight="1" x14ac:dyDescent="0.35">
      <c r="A19" s="69" t="s">
        <v>178</v>
      </c>
      <c r="B19" s="70" t="s">
        <v>381</v>
      </c>
      <c r="C19" s="70" t="s">
        <v>348</v>
      </c>
      <c r="D19" s="70" t="s">
        <v>382</v>
      </c>
      <c r="E19" s="70" t="str">
        <f t="shared" si="0"/>
        <v>A1, A2, A3, C4, D1, D2, D3, D4, E1, F1, F2, F3, F4, F5, F6, F7, G1, G2, G3, G4</v>
      </c>
      <c r="F19" s="70" t="str">
        <f t="shared" si="1"/>
        <v>15.1 Final Engagement Communication — Requirements</v>
      </c>
      <c r="G19" t="str">
        <f>IF(ISNUMBER(SEARCH(";"&amp;A19&amp;";",";"&amp;'3. Matrix'!AB6&amp;";")),", "&amp;'3. Matrix'!A6,"")&amp;IF(ISNUMBER(SEARCH(";"&amp;A19&amp;";",";"&amp;'3. Matrix'!AB7&amp;";")),", "&amp;'3. Matrix'!A7,"")&amp;IF(ISNUMBER(SEARCH(";"&amp;A19&amp;";",";"&amp;'3. Matrix'!AB8&amp;";")),", "&amp;'3. Matrix'!A8,"")&amp;IF(ISNUMBER(SEARCH(";"&amp;A19&amp;";",";"&amp;'3. Matrix'!AB9&amp;";")),", "&amp;'3. Matrix'!A9,"")&amp;IF(ISNUMBER(SEARCH(";"&amp;A19&amp;";",";"&amp;'3. Matrix'!AB10&amp;";")),", "&amp;'3. Matrix'!A10,"")&amp;IF(ISNUMBER(SEARCH(";"&amp;A19&amp;";",";"&amp;'3. Matrix'!AB11&amp;";")),", "&amp;'3. Matrix'!A11,"")&amp;IF(ISNUMBER(SEARCH(";"&amp;A19&amp;";",";"&amp;'3. Matrix'!AB12&amp;";")),", "&amp;'3. Matrix'!A12,"")&amp;IF(ISNUMBER(SEARCH(";"&amp;A19&amp;";",";"&amp;'3. Matrix'!AB13&amp;";")),", "&amp;'3. Matrix'!A13,"")&amp;IF(ISNUMBER(SEARCH(";"&amp;A19&amp;";",";"&amp;'3. Matrix'!AB14&amp;";")),", "&amp;'3. Matrix'!A14,"")&amp;IF(ISNUMBER(SEARCH(";"&amp;A19&amp;";",";"&amp;'3. Matrix'!AB15&amp;";")),", "&amp;'3. Matrix'!A15,"")&amp;IF(ISNUMBER(SEARCH(";"&amp;A19&amp;";",";"&amp;'3. Matrix'!AB16&amp;";")),", "&amp;'3. Matrix'!A16,"")&amp;IF(ISNUMBER(SEARCH(";"&amp;A19&amp;";",";"&amp;'3. Matrix'!AB17&amp;";")),", "&amp;'3. Matrix'!A17,"")&amp;IF(ISNUMBER(SEARCH(";"&amp;A19&amp;";",";"&amp;'3. Matrix'!AB18&amp;";")),", "&amp;'3. Matrix'!A18,"")&amp;IF(ISNUMBER(SEARCH(";"&amp;A19&amp;";",";"&amp;'3. Matrix'!AB19&amp;";")),", "&amp;'3. Matrix'!A19,"")&amp;IF(ISNUMBER(SEARCH(";"&amp;A19&amp;";",";"&amp;'3. Matrix'!AB20&amp;";")),", "&amp;'3. Matrix'!A20,"")&amp;IF(ISNUMBER(SEARCH(";"&amp;A19&amp;";",";"&amp;'3. Matrix'!AB21&amp;";")),", "&amp;'3. Matrix'!A21,"")&amp;IF(ISNUMBER(SEARCH(";"&amp;A19&amp;";",";"&amp;'3. Matrix'!AB22&amp;";")),", "&amp;'3. Matrix'!A22,"")&amp;IF(ISNUMBER(SEARCH(";"&amp;A19&amp;";",";"&amp;'3. Matrix'!AB23&amp;";")),", "&amp;'3. Matrix'!A23,"")&amp;IF(ISNUMBER(SEARCH(";"&amp;A19&amp;";",";"&amp;'3. Matrix'!AB24&amp;";")),", "&amp;'3. Matrix'!A24,"")&amp;IF(ISNUMBER(SEARCH(";"&amp;A19&amp;";",";"&amp;'3. Matrix'!AB25&amp;";")),", "&amp;'3. Matrix'!A25,"")&amp;IF(ISNUMBER(SEARCH(";"&amp;A19&amp;";",";"&amp;'3. Matrix'!AB26&amp;";")),", "&amp;'3. Matrix'!A26,"")&amp;IF(ISNUMBER(SEARCH(";"&amp;A19&amp;";",";"&amp;'3. Matrix'!AB27&amp;";")),", "&amp;'3. Matrix'!A27,"")&amp;IF(ISNUMBER(SEARCH(";"&amp;A19&amp;";",";"&amp;'3. Matrix'!AB28&amp;";")),", "&amp;'3. Matrix'!A28,"")&amp;IF(ISNUMBER(SEARCH(";"&amp;A19&amp;";",";"&amp;'3. Matrix'!AB29&amp;";")),", "&amp;'3. Matrix'!A29,"")&amp;IF(ISNUMBER(SEARCH(";"&amp;A19&amp;";",";"&amp;'3. Matrix'!AB30&amp;";")),", "&amp;'3. Matrix'!A30,"")&amp;IF(ISNUMBER(SEARCH(";"&amp;A19&amp;";",";"&amp;'3. Matrix'!AB31&amp;";")),", "&amp;'3. Matrix'!A31,"")&amp;IF(ISNUMBER(SEARCH(";"&amp;A19&amp;";",";"&amp;'3. Matrix'!AB32&amp;";")),", "&amp;'3. Matrix'!A32,"")&amp;IF(ISNUMBER(SEARCH(";"&amp;A19&amp;";",";"&amp;'3. Matrix'!AB33&amp;";")),", "&amp;'3. Matrix'!A33,"")&amp;IF(ISNUMBER(SEARCH(";"&amp;A19&amp;";",";"&amp;'3. Matrix'!AB34&amp;";")),", "&amp;'3. Matrix'!A34,"")&amp;IF(ISNUMBER(SEARCH(";"&amp;A19&amp;";",";"&amp;'3. Matrix'!AB35&amp;";")),", "&amp;'3. Matrix'!A35,"")&amp;IF(ISNUMBER(SEARCH(";"&amp;A19&amp;";",";"&amp;'3. Matrix'!AB36&amp;";")),", "&amp;'3. Matrix'!A36,"")&amp;IF(ISNUMBER(SEARCH(";"&amp;A19&amp;";",";"&amp;'3. Matrix'!AB37&amp;";")),", "&amp;'3. Matrix'!A37,"")&amp;IF(ISNUMBER(SEARCH(";"&amp;A19&amp;";",";"&amp;'3. Matrix'!AB38&amp;";")),", "&amp;'3. Matrix'!A38,"")&amp;IF(ISNUMBER(SEARCH(";"&amp;A19&amp;";",";"&amp;'3. Matrix'!AB39&amp;";")),", "&amp;'3. Matrix'!A39,"")&amp;IF(ISNUMBER(SEARCH(";"&amp;A19&amp;";",";"&amp;'3. Matrix'!AB40&amp;";")),", "&amp;'3. Matrix'!A40,"")&amp;IF(ISNUMBER(SEARCH(";"&amp;A19&amp;";",";"&amp;'3. Matrix'!AB41&amp;";")),", "&amp;'3. Matrix'!A41,"")&amp;IF(ISNUMBER(SEARCH(";"&amp;A19&amp;";",";"&amp;'3. Matrix'!AB42&amp;";")),", "&amp;'3. Matrix'!A42,"")&amp;IF(ISNUMBER(SEARCH(";"&amp;A19&amp;";",";"&amp;'3. Matrix'!AB43&amp;";")),", "&amp;'3. Matrix'!A43,"")&amp;IF(ISNUMBER(SEARCH(";"&amp;A19&amp;";",";"&amp;'3. Matrix'!AB44&amp;";")),", "&amp;'3. Matrix'!A44,"")&amp;IF(ISNUMBER(SEARCH(";"&amp;A19&amp;";",";"&amp;'3. Matrix'!AB45&amp;";")),", "&amp;'3. Matrix'!A45,"")&amp;IF(ISNUMBER(SEARCH(";"&amp;A19&amp;";",";"&amp;'3. Matrix'!AB46&amp;";")),", "&amp;'3. Matrix'!A46,"")&amp;IF(ISNUMBER(SEARCH(";"&amp;A19&amp;";",";"&amp;'3. Matrix'!AB47&amp;";")),", "&amp;'3. Matrix'!A47,"")</f>
        <v>, A1, A2, A3, C4, D1, D2, D3, D4, E1, F1, F2, F3, F4, F5, F6, F7, G1, G2, G3, G4</v>
      </c>
    </row>
    <row r="20" spans="1:7" ht="48" customHeight="1" x14ac:dyDescent="0.35">
      <c r="A20" s="71" t="s">
        <v>383</v>
      </c>
      <c r="B20" s="72" t="s">
        <v>384</v>
      </c>
      <c r="C20" s="72" t="s">
        <v>348</v>
      </c>
      <c r="D20" s="72" t="s">
        <v>385</v>
      </c>
      <c r="E20" s="72" t="str">
        <f t="shared" si="0"/>
        <v>Not scored on an assignment report</v>
      </c>
      <c r="F20" s="72" t="str">
        <f t="shared" si="1"/>
        <v>15.2 Confirming the Implementation of Recommendations or Action Plans — Requirements</v>
      </c>
      <c r="G20" t="str">
        <f>IF(ISNUMBER(SEARCH(";"&amp;A20&amp;";",";"&amp;'3. Matrix'!AB6&amp;";")),", "&amp;'3. Matrix'!A6,"")&amp;IF(ISNUMBER(SEARCH(";"&amp;A20&amp;";",";"&amp;'3. Matrix'!AB7&amp;";")),", "&amp;'3. Matrix'!A7,"")&amp;IF(ISNUMBER(SEARCH(";"&amp;A20&amp;";",";"&amp;'3. Matrix'!AB8&amp;";")),", "&amp;'3. Matrix'!A8,"")&amp;IF(ISNUMBER(SEARCH(";"&amp;A20&amp;";",";"&amp;'3. Matrix'!AB9&amp;";")),", "&amp;'3. Matrix'!A9,"")&amp;IF(ISNUMBER(SEARCH(";"&amp;A20&amp;";",";"&amp;'3. Matrix'!AB10&amp;";")),", "&amp;'3. Matrix'!A10,"")&amp;IF(ISNUMBER(SEARCH(";"&amp;A20&amp;";",";"&amp;'3. Matrix'!AB11&amp;";")),", "&amp;'3. Matrix'!A11,"")&amp;IF(ISNUMBER(SEARCH(";"&amp;A20&amp;";",";"&amp;'3. Matrix'!AB12&amp;";")),", "&amp;'3. Matrix'!A12,"")&amp;IF(ISNUMBER(SEARCH(";"&amp;A20&amp;";",";"&amp;'3. Matrix'!AB13&amp;";")),", "&amp;'3. Matrix'!A13,"")&amp;IF(ISNUMBER(SEARCH(";"&amp;A20&amp;";",";"&amp;'3. Matrix'!AB14&amp;";")),", "&amp;'3. Matrix'!A14,"")&amp;IF(ISNUMBER(SEARCH(";"&amp;A20&amp;";",";"&amp;'3. Matrix'!AB15&amp;";")),", "&amp;'3. Matrix'!A15,"")&amp;IF(ISNUMBER(SEARCH(";"&amp;A20&amp;";",";"&amp;'3. Matrix'!AB16&amp;";")),", "&amp;'3. Matrix'!A16,"")&amp;IF(ISNUMBER(SEARCH(";"&amp;A20&amp;";",";"&amp;'3. Matrix'!AB17&amp;";")),", "&amp;'3. Matrix'!A17,"")&amp;IF(ISNUMBER(SEARCH(";"&amp;A20&amp;";",";"&amp;'3. Matrix'!AB18&amp;";")),", "&amp;'3. Matrix'!A18,"")&amp;IF(ISNUMBER(SEARCH(";"&amp;A20&amp;";",";"&amp;'3. Matrix'!AB19&amp;";")),", "&amp;'3. Matrix'!A19,"")&amp;IF(ISNUMBER(SEARCH(";"&amp;A20&amp;";",";"&amp;'3. Matrix'!AB20&amp;";")),", "&amp;'3. Matrix'!A20,"")&amp;IF(ISNUMBER(SEARCH(";"&amp;A20&amp;";",";"&amp;'3. Matrix'!AB21&amp;";")),", "&amp;'3. Matrix'!A21,"")&amp;IF(ISNUMBER(SEARCH(";"&amp;A20&amp;";",";"&amp;'3. Matrix'!AB22&amp;";")),", "&amp;'3. Matrix'!A22,"")&amp;IF(ISNUMBER(SEARCH(";"&amp;A20&amp;";",";"&amp;'3. Matrix'!AB23&amp;";")),", "&amp;'3. Matrix'!A23,"")&amp;IF(ISNUMBER(SEARCH(";"&amp;A20&amp;";",";"&amp;'3. Matrix'!AB24&amp;";")),", "&amp;'3. Matrix'!A24,"")&amp;IF(ISNUMBER(SEARCH(";"&amp;A20&amp;";",";"&amp;'3. Matrix'!AB25&amp;";")),", "&amp;'3. Matrix'!A25,"")&amp;IF(ISNUMBER(SEARCH(";"&amp;A20&amp;";",";"&amp;'3. Matrix'!AB26&amp;";")),", "&amp;'3. Matrix'!A26,"")&amp;IF(ISNUMBER(SEARCH(";"&amp;A20&amp;";",";"&amp;'3. Matrix'!AB27&amp;";")),", "&amp;'3. Matrix'!A27,"")&amp;IF(ISNUMBER(SEARCH(";"&amp;A20&amp;";",";"&amp;'3. Matrix'!AB28&amp;";")),", "&amp;'3. Matrix'!A28,"")&amp;IF(ISNUMBER(SEARCH(";"&amp;A20&amp;";",";"&amp;'3. Matrix'!AB29&amp;";")),", "&amp;'3. Matrix'!A29,"")&amp;IF(ISNUMBER(SEARCH(";"&amp;A20&amp;";",";"&amp;'3. Matrix'!AB30&amp;";")),", "&amp;'3. Matrix'!A30,"")&amp;IF(ISNUMBER(SEARCH(";"&amp;A20&amp;";",";"&amp;'3. Matrix'!AB31&amp;";")),", "&amp;'3. Matrix'!A31,"")&amp;IF(ISNUMBER(SEARCH(";"&amp;A20&amp;";",";"&amp;'3. Matrix'!AB32&amp;";")),", "&amp;'3. Matrix'!A32,"")&amp;IF(ISNUMBER(SEARCH(";"&amp;A20&amp;";",";"&amp;'3. Matrix'!AB33&amp;";")),", "&amp;'3. Matrix'!A33,"")&amp;IF(ISNUMBER(SEARCH(";"&amp;A20&amp;";",";"&amp;'3. Matrix'!AB34&amp;";")),", "&amp;'3. Matrix'!A34,"")&amp;IF(ISNUMBER(SEARCH(";"&amp;A20&amp;";",";"&amp;'3. Matrix'!AB35&amp;";")),", "&amp;'3. Matrix'!A35,"")&amp;IF(ISNUMBER(SEARCH(";"&amp;A20&amp;";",";"&amp;'3. Matrix'!AB36&amp;";")),", "&amp;'3. Matrix'!A36,"")&amp;IF(ISNUMBER(SEARCH(";"&amp;A20&amp;";",";"&amp;'3. Matrix'!AB37&amp;";")),", "&amp;'3. Matrix'!A37,"")&amp;IF(ISNUMBER(SEARCH(";"&amp;A20&amp;";",";"&amp;'3. Matrix'!AB38&amp;";")),", "&amp;'3. Matrix'!A38,"")&amp;IF(ISNUMBER(SEARCH(";"&amp;A20&amp;";",";"&amp;'3. Matrix'!AB39&amp;";")),", "&amp;'3. Matrix'!A39,"")&amp;IF(ISNUMBER(SEARCH(";"&amp;A20&amp;";",";"&amp;'3. Matrix'!AB40&amp;";")),", "&amp;'3. Matrix'!A40,"")&amp;IF(ISNUMBER(SEARCH(";"&amp;A20&amp;";",";"&amp;'3. Matrix'!AB41&amp;";")),", "&amp;'3. Matrix'!A41,"")&amp;IF(ISNUMBER(SEARCH(";"&amp;A20&amp;";",";"&amp;'3. Matrix'!AB42&amp;";")),", "&amp;'3. Matrix'!A42,"")&amp;IF(ISNUMBER(SEARCH(";"&amp;A20&amp;";",";"&amp;'3. Matrix'!AB43&amp;";")),", "&amp;'3. Matrix'!A43,"")&amp;IF(ISNUMBER(SEARCH(";"&amp;A20&amp;";",";"&amp;'3. Matrix'!AB44&amp;";")),", "&amp;'3. Matrix'!A44,"")&amp;IF(ISNUMBER(SEARCH(";"&amp;A20&amp;";",";"&amp;'3. Matrix'!AB45&amp;";")),", "&amp;'3. Matrix'!A45,"")&amp;IF(ISNUMBER(SEARCH(";"&amp;A20&amp;";",";"&amp;'3. Matrix'!AB46&amp;";")),", "&amp;'3. Matrix'!A46,"")&amp;IF(ISNUMBER(SEARCH(";"&amp;A20&amp;";",";"&amp;'3. Matrix'!AB47&amp;";")),", "&amp;'3. Matrix'!A47,"")</f>
        <v/>
      </c>
    </row>
    <row r="21" spans="1:7" ht="48" customHeight="1" x14ac:dyDescent="0.35">
      <c r="A21" s="69" t="s">
        <v>386</v>
      </c>
      <c r="B21" s="70" t="s">
        <v>387</v>
      </c>
      <c r="C21" s="70" t="s">
        <v>388</v>
      </c>
      <c r="D21" s="70" t="s">
        <v>389</v>
      </c>
      <c r="E21" s="70" t="str">
        <f t="shared" si="0"/>
        <v>F2</v>
      </c>
      <c r="F21" s="70" t="str">
        <f t="shared" si="1"/>
        <v>P2 Principle 2 Maintain Objectivity — Principle</v>
      </c>
      <c r="G21" t="str">
        <f>IF(ISNUMBER(SEARCH(";"&amp;A21&amp;";",";"&amp;'3. Matrix'!AB6&amp;";")),", "&amp;'3. Matrix'!A6,"")&amp;IF(ISNUMBER(SEARCH(";"&amp;A21&amp;";",";"&amp;'3. Matrix'!AB7&amp;";")),", "&amp;'3. Matrix'!A7,"")&amp;IF(ISNUMBER(SEARCH(";"&amp;A21&amp;";",";"&amp;'3. Matrix'!AB8&amp;";")),", "&amp;'3. Matrix'!A8,"")&amp;IF(ISNUMBER(SEARCH(";"&amp;A21&amp;";",";"&amp;'3. Matrix'!AB9&amp;";")),", "&amp;'3. Matrix'!A9,"")&amp;IF(ISNUMBER(SEARCH(";"&amp;A21&amp;";",";"&amp;'3. Matrix'!AB10&amp;";")),", "&amp;'3. Matrix'!A10,"")&amp;IF(ISNUMBER(SEARCH(";"&amp;A21&amp;";",";"&amp;'3. Matrix'!AB11&amp;";")),", "&amp;'3. Matrix'!A11,"")&amp;IF(ISNUMBER(SEARCH(";"&amp;A21&amp;";",";"&amp;'3. Matrix'!AB12&amp;";")),", "&amp;'3. Matrix'!A12,"")&amp;IF(ISNUMBER(SEARCH(";"&amp;A21&amp;";",";"&amp;'3. Matrix'!AB13&amp;";")),", "&amp;'3. Matrix'!A13,"")&amp;IF(ISNUMBER(SEARCH(";"&amp;A21&amp;";",";"&amp;'3. Matrix'!AB14&amp;";")),", "&amp;'3. Matrix'!A14,"")&amp;IF(ISNUMBER(SEARCH(";"&amp;A21&amp;";",";"&amp;'3. Matrix'!AB15&amp;";")),", "&amp;'3. Matrix'!A15,"")&amp;IF(ISNUMBER(SEARCH(";"&amp;A21&amp;";",";"&amp;'3. Matrix'!AB16&amp;";")),", "&amp;'3. Matrix'!A16,"")&amp;IF(ISNUMBER(SEARCH(";"&amp;A21&amp;";",";"&amp;'3. Matrix'!AB17&amp;";")),", "&amp;'3. Matrix'!A17,"")&amp;IF(ISNUMBER(SEARCH(";"&amp;A21&amp;";",";"&amp;'3. Matrix'!AB18&amp;";")),", "&amp;'3. Matrix'!A18,"")&amp;IF(ISNUMBER(SEARCH(";"&amp;A21&amp;";",";"&amp;'3. Matrix'!AB19&amp;";")),", "&amp;'3. Matrix'!A19,"")&amp;IF(ISNUMBER(SEARCH(";"&amp;A21&amp;";",";"&amp;'3. Matrix'!AB20&amp;";")),", "&amp;'3. Matrix'!A20,"")&amp;IF(ISNUMBER(SEARCH(";"&amp;A21&amp;";",";"&amp;'3. Matrix'!AB21&amp;";")),", "&amp;'3. Matrix'!A21,"")&amp;IF(ISNUMBER(SEARCH(";"&amp;A21&amp;";",";"&amp;'3. Matrix'!AB22&amp;";")),", "&amp;'3. Matrix'!A22,"")&amp;IF(ISNUMBER(SEARCH(";"&amp;A21&amp;";",";"&amp;'3. Matrix'!AB23&amp;";")),", "&amp;'3. Matrix'!A23,"")&amp;IF(ISNUMBER(SEARCH(";"&amp;A21&amp;";",";"&amp;'3. Matrix'!AB24&amp;";")),", "&amp;'3. Matrix'!A24,"")&amp;IF(ISNUMBER(SEARCH(";"&amp;A21&amp;";",";"&amp;'3. Matrix'!AB25&amp;";")),", "&amp;'3. Matrix'!A25,"")&amp;IF(ISNUMBER(SEARCH(";"&amp;A21&amp;";",";"&amp;'3. Matrix'!AB26&amp;";")),", "&amp;'3. Matrix'!A26,"")&amp;IF(ISNUMBER(SEARCH(";"&amp;A21&amp;";",";"&amp;'3. Matrix'!AB27&amp;";")),", "&amp;'3. Matrix'!A27,"")&amp;IF(ISNUMBER(SEARCH(";"&amp;A21&amp;";",";"&amp;'3. Matrix'!AB28&amp;";")),", "&amp;'3. Matrix'!A28,"")&amp;IF(ISNUMBER(SEARCH(";"&amp;A21&amp;";",";"&amp;'3. Matrix'!AB29&amp;";")),", "&amp;'3. Matrix'!A29,"")&amp;IF(ISNUMBER(SEARCH(";"&amp;A21&amp;";",";"&amp;'3. Matrix'!AB30&amp;";")),", "&amp;'3. Matrix'!A30,"")&amp;IF(ISNUMBER(SEARCH(";"&amp;A21&amp;";",";"&amp;'3. Matrix'!AB31&amp;";")),", "&amp;'3. Matrix'!A31,"")&amp;IF(ISNUMBER(SEARCH(";"&amp;A21&amp;";",";"&amp;'3. Matrix'!AB32&amp;";")),", "&amp;'3. Matrix'!A32,"")&amp;IF(ISNUMBER(SEARCH(";"&amp;A21&amp;";",";"&amp;'3. Matrix'!AB33&amp;";")),", "&amp;'3. Matrix'!A33,"")&amp;IF(ISNUMBER(SEARCH(";"&amp;A21&amp;";",";"&amp;'3. Matrix'!AB34&amp;";")),", "&amp;'3. Matrix'!A34,"")&amp;IF(ISNUMBER(SEARCH(";"&amp;A21&amp;";",";"&amp;'3. Matrix'!AB35&amp;";")),", "&amp;'3. Matrix'!A35,"")&amp;IF(ISNUMBER(SEARCH(";"&amp;A21&amp;";",";"&amp;'3. Matrix'!AB36&amp;";")),", "&amp;'3. Matrix'!A36,"")&amp;IF(ISNUMBER(SEARCH(";"&amp;A21&amp;";",";"&amp;'3. Matrix'!AB37&amp;";")),", "&amp;'3. Matrix'!A37,"")&amp;IF(ISNUMBER(SEARCH(";"&amp;A21&amp;";",";"&amp;'3. Matrix'!AB38&amp;";")),", "&amp;'3. Matrix'!A38,"")&amp;IF(ISNUMBER(SEARCH(";"&amp;A21&amp;";",";"&amp;'3. Matrix'!AB39&amp;";")),", "&amp;'3. Matrix'!A39,"")&amp;IF(ISNUMBER(SEARCH(";"&amp;A21&amp;";",";"&amp;'3. Matrix'!AB40&amp;";")),", "&amp;'3. Matrix'!A40,"")&amp;IF(ISNUMBER(SEARCH(";"&amp;A21&amp;";",";"&amp;'3. Matrix'!AB41&amp;";")),", "&amp;'3. Matrix'!A41,"")&amp;IF(ISNUMBER(SEARCH(";"&amp;A21&amp;";",";"&amp;'3. Matrix'!AB42&amp;";")),", "&amp;'3. Matrix'!A42,"")&amp;IF(ISNUMBER(SEARCH(";"&amp;A21&amp;";",";"&amp;'3. Matrix'!AB43&amp;";")),", "&amp;'3. Matrix'!A43,"")&amp;IF(ISNUMBER(SEARCH(";"&amp;A21&amp;";",";"&amp;'3. Matrix'!AB44&amp;";")),", "&amp;'3. Matrix'!A44,"")&amp;IF(ISNUMBER(SEARCH(";"&amp;A21&amp;";",";"&amp;'3. Matrix'!AB45&amp;";")),", "&amp;'3. Matrix'!A45,"")&amp;IF(ISNUMBER(SEARCH(";"&amp;A21&amp;";",";"&amp;'3. Matrix'!AB46&amp;";")),", "&amp;'3. Matrix'!A46,"")&amp;IF(ISNUMBER(SEARCH(";"&amp;A21&amp;";",";"&amp;'3. Matrix'!AB47&amp;";")),", "&amp;'3. Matrix'!A47,"")</f>
        <v>, F2</v>
      </c>
    </row>
  </sheetData>
  <sheetProtection sheet="1" insertColumns="0" insertRows="0" deleteColumns="0" deleteRows="0" selectLockedCells="1" selectUnlockedCells="1"/>
  <autoFilter ref="A4:E21" xr:uid="{00000000-0009-0000-0000-000005000000}"/>
  <mergeCells count="2">
    <mergeCell ref="A2:E2"/>
    <mergeCell ref="A1:E1"/>
  </mergeCells>
  <pageMargins left="0.75" right="0.75" top="1" bottom="1" header="0.5" footer="0.5"/>
  <pageSetup paperSize="9" orientation="landscape"/>
  <headerFooter>
    <oddHeader>&amp;R&amp;"Calibri"&amp;9 Majid Mumtaz, CIA, ACA, FCCA</oddHeader>
    <oddFooter>&amp;LParaphrase of the Global Internal Audit Standards (2024). Not an IIA publication.&amp;RPage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32</vt:i4>
      </vt:variant>
    </vt:vector>
  </HeadingPairs>
  <TitlesOfParts>
    <vt:vector size="38" baseType="lpstr">
      <vt:lpstr>1. How to use</vt:lpstr>
      <vt:lpstr>2. Details</vt:lpstr>
      <vt:lpstr>3. Matrix</vt:lpstr>
      <vt:lpstr>4. Findings</vt:lpstr>
      <vt:lpstr>5. Scorecard</vt:lpstr>
      <vt:lpstr>6. Standards</vt:lpstr>
      <vt:lpstr>AxisCol</vt:lpstr>
      <vt:lpstr>DocStatus</vt:lpstr>
      <vt:lpstr>DomainCol</vt:lpstr>
      <vt:lpstr>EngagementType</vt:lpstr>
      <vt:lpstr>EvidenceInHand</vt:lpstr>
      <vt:lpstr>InvalidNA</vt:lpstr>
      <vt:lpstr>InvalidNT</vt:lpstr>
      <vt:lpstr>InvalidScore</vt:lpstr>
      <vt:lpstr>LevelCol</vt:lpstr>
      <vt:lpstr>MaxPoints</vt:lpstr>
      <vt:lpstr>MustBlank</vt:lpstr>
      <vt:lpstr>MustFail</vt:lpstr>
      <vt:lpstr>MustPartial</vt:lpstr>
      <vt:lpstr>Organisation</vt:lpstr>
      <vt:lpstr>Points</vt:lpstr>
      <vt:lpstr>'1. How to use'!Print_Area</vt:lpstr>
      <vt:lpstr>'2. Details'!Print_Area</vt:lpstr>
      <vt:lpstr>'3. Matrix'!Print_Area</vt:lpstr>
      <vt:lpstr>'4. Findings'!Print_Area</vt:lpstr>
      <vt:lpstr>'5. Scorecard'!Print_Area</vt:lpstr>
      <vt:lpstr>'6. Standards'!Print_Area</vt:lpstr>
      <vt:lpstr>'3. Matrix'!Print_Titles</vt:lpstr>
      <vt:lpstr>'4. Findings'!Print_Titles</vt:lpstr>
      <vt:lpstr>ReportRef</vt:lpstr>
      <vt:lpstr>ReportTitle</vt:lpstr>
      <vt:lpstr>ReviewDate</vt:lpstr>
      <vt:lpstr>Reviewer</vt:lpstr>
      <vt:lpstr>ScoreCol</vt:lpstr>
      <vt:lpstr>ScoredFlags</vt:lpstr>
      <vt:lpstr>ShouldFail</vt:lpstr>
      <vt:lpstr>ShouldPartial</vt:lpstr>
      <vt:lpstr>StandardsEra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Internal audit report evaluation matrix</dc:title>
  <dc:subject>GIAS 2024 final engagement communication</dc:subject>
  <dc:creator>Majid Mumtaz</dc:creator>
  <cp:keywords>Majid Mumtaz, CIA, ACA, FCCA, GIAS 2024</cp:keywords>
  <dc:description>Review tool for one internal audit communication, based on the Global Internal Audit Standards (2024 edition, effective 9 January 2025). Prepared by Majid Mumtaz, CIA, ACA, FCCA. Not published or endorsed by the Institute of Internal Auditors.</dc:description>
  <cp:lastModifiedBy>Majid Mumtaz</cp:lastModifiedBy>
  <dcterms:created xsi:type="dcterms:W3CDTF">2026-10-10T13:42:00Z</dcterms:created>
  <dcterms:modified xsi:type="dcterms:W3CDTF">2026-10-10T15:39:20Z</dcterms:modified>
  <cp:category/>
</cp:coreProperties>
</file>